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5416" windowWidth="13365" windowHeight="10545" firstSheet="6" activeTab="11"/>
  </bookViews>
  <sheets>
    <sheet name="1 Bevétel" sheetId="1" r:id="rId1"/>
    <sheet name="2. Kiadás " sheetId="2" r:id="rId2"/>
    <sheet name="3. Bevétel 2" sheetId="3" r:id="rId3"/>
    <sheet name="4. Kiadás 2" sheetId="4" r:id="rId4"/>
    <sheet name="5. Társ.feladat" sheetId="5" r:id="rId5"/>
    <sheet name="6. Többéves" sheetId="6" r:id="rId6"/>
    <sheet name="7. Beruházás" sheetId="7" r:id="rId7"/>
    <sheet name="8. Mérleg" sheetId="8" r:id="rId8"/>
    <sheet name="9. Létszám" sheetId="9" r:id="rId9"/>
    <sheet name="10. Tábla" sheetId="10" r:id="rId10"/>
    <sheet name="11.Hit.felv.korl" sheetId="11" r:id="rId11"/>
    <sheet name="12. EU.projektek" sheetId="12" r:id="rId12"/>
  </sheets>
  <externalReferences>
    <externalReference r:id="rId15"/>
    <externalReference r:id="rId16"/>
  </externalReferences>
  <definedNames>
    <definedName name="_4._sz._sor_részletezése">#REF!</definedName>
    <definedName name="_ÁRFOLYAM" localSheetId="9">'10. Tábla'!#REF!</definedName>
    <definedName name="_ÁRFOLYAM">#REF!</definedName>
    <definedName name="_kiadások_költségsora">'[2]Kiadások'!$C$5:$C$301</definedName>
    <definedName name="_kiadások_nettó">'[2]Kiadások'!$D$5:$D$301</definedName>
    <definedName name="_xlnm.Print_Titles" localSheetId="0">'1 Bevétel'!$4:$6</definedName>
    <definedName name="_xlnm.Print_Titles" localSheetId="1">'2. Kiadás '!$4:$6</definedName>
    <definedName name="_xlnm.Print_Titles" localSheetId="2">'3. Bevétel 2'!$4:$7</definedName>
    <definedName name="_xlnm.Print_Titles" localSheetId="3">'4. Kiadás 2'!$4:$7</definedName>
    <definedName name="_xlnm.Print_Titles" localSheetId="4">'5. Társ.feladat'!$3:$6</definedName>
    <definedName name="_xlnm.Print_Titles" localSheetId="5">'6. Többéves'!$3:$6</definedName>
    <definedName name="_xlnm.Print_Titles" localSheetId="6">'7. Beruházás'!$5:$7</definedName>
    <definedName name="_xlnm.Print_Titles" localSheetId="8">'9. Létszám'!$5:$5</definedName>
    <definedName name="_xlnm.Print_Area" localSheetId="0">'1 Bevétel'!$A$1:$J$30</definedName>
    <definedName name="_xlnm.Print_Area" localSheetId="11">'12. EU.projektek'!$A$1:$N$12</definedName>
    <definedName name="_xlnm.Print_Area" localSheetId="1">'2. Kiadás '!$A$1:$J$33</definedName>
    <definedName name="_xlnm.Print_Area" localSheetId="2">'3. Bevétel 2'!$A$1:$Q$12</definedName>
    <definedName name="_xlnm.Print_Area" localSheetId="3">'4. Kiadás 2'!$A$1:$Q$47</definedName>
    <definedName name="_xlnm.Print_Area" localSheetId="4">'5. Társ.feladat'!$A$1:$N$15</definedName>
    <definedName name="_xlnm.Print_Area" localSheetId="5">'6. Többéves'!$A$1:$H$10</definedName>
    <definedName name="_xlnm.Print_Area" localSheetId="6">'7. Beruházás'!$A$1:$I$12</definedName>
    <definedName name="_xlnm.Print_Area" localSheetId="7">'8. Mérleg'!$A$1:$F$31</definedName>
    <definedName name="_xlnm.Print_Area" localSheetId="8">'9. Létszám'!$A$1:$F$8</definedName>
  </definedNames>
  <calcPr fullCalcOnLoad="1"/>
</workbook>
</file>

<file path=xl/comments10.xml><?xml version="1.0" encoding="utf-8"?>
<comments xmlns="http://schemas.openxmlformats.org/spreadsheetml/2006/main">
  <authors>
    <author>Timi</author>
  </authors>
  <commentList>
    <comment ref="J93" authorId="0">
      <text>
        <r>
          <rPr>
            <b/>
            <sz val="9"/>
            <rFont val="Tahoma"/>
            <family val="2"/>
          </rPr>
          <t>Timi:</t>
        </r>
        <r>
          <rPr>
            <sz val="9"/>
            <rFont val="Tahoma"/>
            <family val="2"/>
          </rPr>
          <t xml:space="preserve">
tulajdonlapok
</t>
        </r>
      </text>
    </comment>
    <comment ref="J97" authorId="0">
      <text>
        <r>
          <rPr>
            <b/>
            <sz val="9"/>
            <rFont val="Tahoma"/>
            <family val="2"/>
          </rPr>
          <t>Timi:</t>
        </r>
        <r>
          <rPr>
            <sz val="9"/>
            <rFont val="Tahoma"/>
            <family val="2"/>
          </rPr>
          <t xml:space="preserve">
tulajdonlapok
</t>
        </r>
      </text>
    </comment>
  </commentList>
</comments>
</file>

<file path=xl/sharedStrings.xml><?xml version="1.0" encoding="utf-8"?>
<sst xmlns="http://schemas.openxmlformats.org/spreadsheetml/2006/main" count="587" uniqueCount="333">
  <si>
    <t xml:space="preserve"> - Egyéb felhalmozási célú kiadások</t>
  </si>
  <si>
    <t>Működési finanszírozási kiadások</t>
  </si>
  <si>
    <t>Felhalmozási finanszírozási kiadások</t>
  </si>
  <si>
    <t>Egyéb működési célú kiadások (tartalékokkal együtt)</t>
  </si>
  <si>
    <t>Egyéb felhalmozási célú kiadások</t>
  </si>
  <si>
    <t>Költségvetési maradvány, vállalkozási maradvány</t>
  </si>
  <si>
    <t>Költségvetési hiány összege</t>
  </si>
  <si>
    <t>Ebből: Önkormányzat által önként vállalt feladatokat ellátó intézmények összesen</t>
  </si>
  <si>
    <t>Műk.célú visszatér.tám. kölcs. visszatérülése, igénybevétele</t>
  </si>
  <si>
    <t>Egyéb működési célú támogatások bevételei</t>
  </si>
  <si>
    <t>Felhelmozási költségvetési bevételek</t>
  </si>
  <si>
    <t>Önkormányzatok működési támogatásai</t>
  </si>
  <si>
    <t>Hiány belső finanszírozásárra szolgáló bevételek</t>
  </si>
  <si>
    <t>Hiány külső finanszírozásárra szolgáló bevételek</t>
  </si>
  <si>
    <t>Működési hitelfelvétel</t>
  </si>
  <si>
    <t>Kossuth Lajos Általános Iskola</t>
  </si>
  <si>
    <t>Cholnoky Jenő Általános Iskola</t>
  </si>
  <si>
    <t>Báthory István Általános Iskola</t>
  </si>
  <si>
    <t>Deák Ferenc Általános Iskola</t>
  </si>
  <si>
    <t>Hriszto Botev Általános Iskola</t>
  </si>
  <si>
    <t>ebből: Felsőörsi Tagintézmény / Malomvölgy Á.I.</t>
  </si>
  <si>
    <t>Dózsa György Általános Iskola</t>
  </si>
  <si>
    <t>Rózsa úti Általános Iskola</t>
  </si>
  <si>
    <t>Bárczi Gusztáv Általános Iskola és Speciális Szakiskola</t>
  </si>
  <si>
    <t>Csermák Antal Alapfokú Művészetoktatási Intézmény</t>
  </si>
  <si>
    <t>Gyulaffy László Általános Iskola</t>
  </si>
  <si>
    <t>Általános Iskolák összesen:</t>
  </si>
  <si>
    <t>Nevelési Tanácsadó</t>
  </si>
  <si>
    <t>Oktatási és Egészségügyi PMSZSZ</t>
  </si>
  <si>
    <t>Oktatási, egészségügyi és szoc. int. összesen:</t>
  </si>
  <si>
    <t>Középfokú Oktatási Intézmények</t>
  </si>
  <si>
    <t>Veszprémi Középiskolai Kollégium</t>
  </si>
  <si>
    <t>Lovassy László Gimnázium</t>
  </si>
  <si>
    <t>Vetési Albert Gimnázium</t>
  </si>
  <si>
    <t>Táncsics Mihály Szakközépiskola, Szakiskola és Kollégium</t>
  </si>
  <si>
    <t>Ipari Szakközépiskola és  Gimnázium</t>
  </si>
  <si>
    <t>Veszprémi Közgazdasági Szakközépiskola</t>
  </si>
  <si>
    <t>Dohnányi Ernő Zeneművészeti Szakközépiskola és Diákotthon</t>
  </si>
  <si>
    <t>Jendrassik-Venesz Szakközépiskola és Szakiskola</t>
  </si>
  <si>
    <t>Középfokú Nevelési Központ Gazdasági Igazgatósága</t>
  </si>
  <si>
    <t>Középfokú Nevelési Központ összesen:</t>
  </si>
  <si>
    <t>Középfok összesen:</t>
  </si>
  <si>
    <t>Veszprémi Zeneművészeti Szakközépiskola és Alaptokú Művészetoktatási Intézmény</t>
  </si>
  <si>
    <t>Veszprémi Zeneművészeti Szakközépiskola és Alapfokú Művészetoktatási Intézmény</t>
  </si>
  <si>
    <t>J</t>
  </si>
  <si>
    <t>K</t>
  </si>
  <si>
    <t>L</t>
  </si>
  <si>
    <t>M</t>
  </si>
  <si>
    <t>N</t>
  </si>
  <si>
    <t>Irányító szervtől kapott támogatás</t>
  </si>
  <si>
    <t>Előző évi pénzma-radvány</t>
  </si>
  <si>
    <t>Felhalmozási bevétel</t>
  </si>
  <si>
    <t>Felhalmozási célú támogatás Áht.-on belülről</t>
  </si>
  <si>
    <t>Munk.a. terh. jár. és szoc.hj.adó</t>
  </si>
  <si>
    <t>MŰKÖDÉSI KÖLTSÉGVETÉSI BEVÉTELEK</t>
  </si>
  <si>
    <t>ezer Ft-ban</t>
  </si>
  <si>
    <t>MŰKÖDÉSI KÖLTSÉGVETÉSI KIADÁSOK</t>
  </si>
  <si>
    <t>Személyi juttatások</t>
  </si>
  <si>
    <t>Munkaadókat terhelő járulékok és szociális hozzájárulási adó</t>
  </si>
  <si>
    <t>Dologi kiadások</t>
  </si>
  <si>
    <t>Egyéb működési kiadások</t>
  </si>
  <si>
    <t>FELHALMOZÁSI KÖLTSÉGVETÉSI BEVÉTELEK</t>
  </si>
  <si>
    <t>FELHALMOZÁSI KÖLTSÉGVETÉSI KIADÁSOK</t>
  </si>
  <si>
    <t>Felhalmozási célú átvett pénzeszköz</t>
  </si>
  <si>
    <t>MŰKÖDÉSI FINANSZÍROZÁSI BEVÉTELEK</t>
  </si>
  <si>
    <t>MŰKÖDÉSI FINANSZÍROZÁSI KIADÁSOK</t>
  </si>
  <si>
    <t>Hosszú lejáratú hitel felvétele</t>
  </si>
  <si>
    <t>Hosszú lejáratú hitel tőkeösszegének törlesztése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</si>
  <si>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</si>
  <si>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</si>
  <si>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</si>
  <si>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</si>
  <si>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</si>
  <si>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</si>
  <si>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</si>
  <si>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</si>
  <si>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>Módosítás</t>
  </si>
  <si>
    <t>2013. évi engedélyezett létszám</t>
  </si>
  <si>
    <t>Megjegyzés</t>
  </si>
  <si>
    <t>O</t>
  </si>
  <si>
    <t>P</t>
  </si>
  <si>
    <t>A korrigált saját bevétel számítása:</t>
  </si>
  <si>
    <t>Helyi adó bevétel</t>
  </si>
  <si>
    <t>Díjak, pótlékok, bírságok</t>
  </si>
  <si>
    <t>Saját bevétel összesen:</t>
  </si>
  <si>
    <t>A hitelfelvételi korlát a saját bevétel 50 %-a</t>
  </si>
  <si>
    <t>A saját bevétel 50 %-a:</t>
  </si>
  <si>
    <t>Fizetési kötelezettségekkel csökkentett saját bevétel</t>
  </si>
  <si>
    <t>2014. évi beruházások és egyéb felhalmozási kiadások előirányzata</t>
  </si>
  <si>
    <t>Egyéb eszköz beszerzések</t>
  </si>
  <si>
    <t>Észak-balatoni Térség Regionális Települési Szilárdhulladék Kezelési Önkormányzati Társulás</t>
  </si>
  <si>
    <t>Közfoglalkoztattak létszáma</t>
  </si>
  <si>
    <t>2014. évi</t>
  </si>
  <si>
    <t>Társulási feladatok és egyéb kötelezettségek 2014. évi működési költségvetési kiadásai</t>
  </si>
  <si>
    <t>Társulás</t>
  </si>
  <si>
    <t>Vagyoni értékű jog értékesítése, hasznosítása</t>
  </si>
  <si>
    <t>Osztalék, koncessziós díjak, hozambevétel</t>
  </si>
  <si>
    <t>Kezességvállalással kapcsolatos megtérülés</t>
  </si>
  <si>
    <t xml:space="preserve"> - Kezességállalásból eredő fizetési kötelezettség</t>
  </si>
  <si>
    <t xml:space="preserve"> - Pénzügyi lízing</t>
  </si>
  <si>
    <t xml:space="preserve"> - Rövidlejáratú hitelek törlesztése</t>
  </si>
  <si>
    <t>K= Magyarország helyi önkormányzatairól szóló 2011. évi CLXXXIX. törvény 13. § (1) bekezdése szerinti kötelező feladatok</t>
  </si>
  <si>
    <t>NK= Önkormányzat által önként vállalt feladatok</t>
  </si>
  <si>
    <t>Működési célú támogatások államháztartáson belülről</t>
  </si>
  <si>
    <t>Felhalmozási célú támogatások államháztartáson belülről</t>
  </si>
  <si>
    <t>KÖLTSÉGVETÉSI BEVÉTELEI ÉS KIADÁSAI 2014. ÉVBEN</t>
  </si>
  <si>
    <t>Ellátottak pénzbeli. juttatásai</t>
  </si>
  <si>
    <t>Működési költségvetési kiadások</t>
  </si>
  <si>
    <t>Felhalmozási költségvetési kiadások</t>
  </si>
  <si>
    <t>Beruházások</t>
  </si>
  <si>
    <t>Felújítások</t>
  </si>
  <si>
    <t>2014. évi  előirányzat</t>
  </si>
  <si>
    <t>Működési célú támogatás Áht-on belülről</t>
  </si>
  <si>
    <t>Működési költségvetési bevételek</t>
  </si>
  <si>
    <t>Felhalmozási költségvetési bevételek</t>
  </si>
  <si>
    <t>2012. évi           tény</t>
  </si>
  <si>
    <t>Céltartalékok</t>
  </si>
  <si>
    <t>Működési céltartalékok</t>
  </si>
  <si>
    <t>Felhalmozási céltartalékok</t>
  </si>
  <si>
    <t>2012. évi         tény</t>
  </si>
  <si>
    <t>Működési célú támogatások Áht-on belülről</t>
  </si>
  <si>
    <t>Felhalmozási célú támogatások Áht-on belülről</t>
  </si>
  <si>
    <t>H</t>
  </si>
  <si>
    <t>I</t>
  </si>
  <si>
    <t>Előir. csop. szám</t>
  </si>
  <si>
    <t>Kie-melt előir. szám</t>
  </si>
  <si>
    <t>Közhatalmi bevételek</t>
  </si>
  <si>
    <t>2012. évi tény</t>
  </si>
  <si>
    <t>Működési célú átvett pénzeszköz</t>
  </si>
  <si>
    <t>3.B. számú melléklet</t>
  </si>
  <si>
    <t>KIMUTATÁS</t>
  </si>
  <si>
    <t>az Európai Uniós forrásból finanszírozott támogatással megvalósuló programok, projektek kiadásai és bevételei az Ávr. 24.§ (1) bekezdés a.)és Bd.) pontjainak megfelelően</t>
  </si>
  <si>
    <t>Új Magyarország Fejlesztési Terv</t>
  </si>
  <si>
    <t>Program megnevezés</t>
  </si>
  <si>
    <t>Program megvalósításának ideje</t>
  </si>
  <si>
    <t>Támogatási szerződés szerinti költségmegbontás</t>
  </si>
  <si>
    <t>Saját erő</t>
  </si>
  <si>
    <t>EU támogatás</t>
  </si>
  <si>
    <t>2013. 12.31-ig</t>
  </si>
  <si>
    <t xml:space="preserve"> - Normatíva elszámolás</t>
  </si>
  <si>
    <t xml:space="preserve"> - Pénzmaradványból képzett tartalék:átszervezéssel megszűnt int.pénzmaradványa</t>
  </si>
  <si>
    <t>Beruházási kiadások</t>
  </si>
  <si>
    <t>Felújítási kiadások</t>
  </si>
  <si>
    <t>a 2014. évi engedélyezett létszámról</t>
  </si>
  <si>
    <t>2014. évi engedélyezett létszám</t>
  </si>
  <si>
    <r>
      <t>Ebből</t>
    </r>
    <r>
      <rPr>
        <i/>
        <sz val="10"/>
        <rFont val="Palatino Linotype"/>
        <family val="1"/>
      </rPr>
      <t>: normatív állami támogatás</t>
    </r>
  </si>
  <si>
    <t>Összesen</t>
  </si>
  <si>
    <t>adatok eFt-ban</t>
  </si>
  <si>
    <t>Megnevezés</t>
  </si>
  <si>
    <t>2012. évi előirányzat</t>
  </si>
  <si>
    <t xml:space="preserve">Cím  </t>
  </si>
  <si>
    <t>Általános tartalék</t>
  </si>
  <si>
    <t>Kiegyenlítő, függő, átfutó kiadások</t>
  </si>
  <si>
    <t xml:space="preserve"> - Hiteltörlesztés</t>
  </si>
  <si>
    <t>A</t>
  </si>
  <si>
    <t>B</t>
  </si>
  <si>
    <t>C</t>
  </si>
  <si>
    <t>D</t>
  </si>
  <si>
    <t>E</t>
  </si>
  <si>
    <t>F</t>
  </si>
  <si>
    <t>G</t>
  </si>
  <si>
    <t>2014. évi előirányzat</t>
  </si>
  <si>
    <t>Sorszám</t>
  </si>
  <si>
    <t>eFt</t>
  </si>
  <si>
    <r>
      <t xml:space="preserve">Tárgyévet terhelő rövid lejáratú kötelezettségek </t>
    </r>
    <r>
      <rPr>
        <sz val="10"/>
        <rFont val="Palatino Linotype"/>
        <family val="1"/>
      </rPr>
      <t>(likvid hitellel kapcsolatos kötelezettségek nélkül)</t>
    </r>
  </si>
  <si>
    <t>Működési bevételek</t>
  </si>
  <si>
    <t>Ellátottak pénzbeli juttatásai</t>
  </si>
  <si>
    <t>Felhalmozási bevételek</t>
  </si>
  <si>
    <t>Működési célú átvett pénzeszközök</t>
  </si>
  <si>
    <t>Felhalmozási célú átvett pénzeszközök</t>
  </si>
  <si>
    <t>Költségvetési bevételek összesen</t>
  </si>
  <si>
    <t>Költségvetési egyenleg összege:</t>
  </si>
  <si>
    <t>Finanszírozási bevételek</t>
  </si>
  <si>
    <t>Működési célú Pénzmaradvány igénybevétele</t>
  </si>
  <si>
    <t>Felhalmozási célú Pénzmaradvány igénybevétele</t>
  </si>
  <si>
    <t>Beruházási hitelfelvétel</t>
  </si>
  <si>
    <t>Kiegyenlítő, függő, átfutó</t>
  </si>
  <si>
    <t>Bevételi főösszeg</t>
  </si>
  <si>
    <t xml:space="preserve"> - Felújítások</t>
  </si>
  <si>
    <t>Finanszírozási kiadások</t>
  </si>
  <si>
    <t>Kiadási főösszeg</t>
  </si>
  <si>
    <t>Simonyi Zs. - Ének-Zenei és Testnevelési Általános Iskola</t>
  </si>
  <si>
    <t>Nevelési Központ</t>
  </si>
  <si>
    <t>Dohnányi E. Zeneművészeti Szakközépiskola és Diákotthon</t>
  </si>
  <si>
    <t>Alsófokú oktatási intézmények összesen:</t>
  </si>
  <si>
    <t>Ipari Szakközépiskola és Gimnázium</t>
  </si>
  <si>
    <t xml:space="preserve"> - Beruházások</t>
  </si>
  <si>
    <t xml:space="preserve"> - Felmentési idő, jub.jut., végkielégítés</t>
  </si>
  <si>
    <t xml:space="preserve"> - Választókerületi keret</t>
  </si>
  <si>
    <t xml:space="preserve"> - Előző évi hitelszerződéshez kapcs. feladat</t>
  </si>
  <si>
    <t xml:space="preserve"> - Felújítási kiadásokra képzett céltartalék</t>
  </si>
  <si>
    <t xml:space="preserve"> - Beruházási kiadásokra képzett céltartalék</t>
  </si>
  <si>
    <t>Teljes költség</t>
  </si>
  <si>
    <t>2014. évi bevételei</t>
  </si>
  <si>
    <t>2014. évi kiadásai</t>
  </si>
  <si>
    <t xml:space="preserve">2014. évi kiadásai </t>
  </si>
  <si>
    <t>2013. évi eredeti előirányzat</t>
  </si>
  <si>
    <t>2013. évi várható</t>
  </si>
  <si>
    <t>Alcím</t>
  </si>
  <si>
    <t xml:space="preserve"> </t>
  </si>
  <si>
    <t>Működési költségvetési kiadások összesen</t>
  </si>
  <si>
    <t>Felhalmozási költségvetési kiadások összesen</t>
  </si>
  <si>
    <t>Költségvetési kiadások összesen</t>
  </si>
  <si>
    <t>Finanszírozási kiadások összesen</t>
  </si>
  <si>
    <t>ÖSSZES KIADÁS</t>
  </si>
  <si>
    <t>Működési költségvetési bevételek összesen</t>
  </si>
  <si>
    <t>Felhalmozási költségvetési bevételek összesen</t>
  </si>
  <si>
    <t>Finanszírozási bevételek összesen</t>
  </si>
  <si>
    <t>ÖSSZES BEVÉTEL</t>
  </si>
  <si>
    <t>MINDÖSSZESEN:</t>
  </si>
  <si>
    <t>Cím</t>
  </si>
  <si>
    <t>1.</t>
  </si>
  <si>
    <t>2.</t>
  </si>
  <si>
    <t>3.</t>
  </si>
  <si>
    <t>4.</t>
  </si>
  <si>
    <t>5.</t>
  </si>
  <si>
    <t>6.</t>
  </si>
  <si>
    <t>Teljesítés 2012. 12.31.</t>
  </si>
  <si>
    <t>2014. utáni javaslat</t>
  </si>
  <si>
    <t xml:space="preserve">Több éves kihatással járó feladatok előirányzatai éves bontásban </t>
  </si>
  <si>
    <t>2015. évi előirányzat</t>
  </si>
  <si>
    <t>2016. évi előirányzat</t>
  </si>
  <si>
    <t>2017. évi előirányzat</t>
  </si>
  <si>
    <t>Ebből: Önkormányzati kötelező feladatokat ellátó intézmények összesen:</t>
  </si>
  <si>
    <t>Ebből: VMJV Polgármesteri Hivatal által ellátott kötelező és államigazgatási feladatok összesen</t>
  </si>
  <si>
    <t>Feladatellátás jellege*</t>
  </si>
  <si>
    <t>* Feladatellátás jellege:</t>
  </si>
  <si>
    <t>ÉHÖT Társulás</t>
  </si>
  <si>
    <t xml:space="preserve">2002/HU/16/P/PE/017 </t>
  </si>
  <si>
    <t xml:space="preserve">KEOP 2.3.0/2F/09-2010-023 </t>
  </si>
  <si>
    <t>2011.04.18-2015.06.20</t>
  </si>
  <si>
    <t xml:space="preserve">KEOP-2010-1.1.1/C </t>
  </si>
  <si>
    <t>Tárgyi eszközök, immateriális javak, részvény, részesedés értékesítéséből, bérbeadásából származó bevétel</t>
  </si>
  <si>
    <t>Hulladékgazdálkodás</t>
  </si>
  <si>
    <t>Kompenzációra átadott pénzeszköz</t>
  </si>
  <si>
    <t>Felhalmozási  alap elkülönítése</t>
  </si>
  <si>
    <t>Pénzeszközátadás áht-n belülre</t>
  </si>
  <si>
    <t>Észak-Balatoni Térség Regionális Települési Szilárdhulladék-kezelési Önkormányzati Társulás</t>
  </si>
  <si>
    <t>2014 febr</t>
  </si>
  <si>
    <t>2014. évi költségvetési tervezet</t>
  </si>
  <si>
    <t>(eFt-ban)</t>
  </si>
  <si>
    <t>BEVÉTEL</t>
  </si>
  <si>
    <t>összes bevétel</t>
  </si>
  <si>
    <t>Felhalmozási bevételek:</t>
  </si>
  <si>
    <t xml:space="preserve">KA Felhalmozási bevételek </t>
  </si>
  <si>
    <t xml:space="preserve">Bérleti díj </t>
  </si>
  <si>
    <t>pénzmaradvány</t>
  </si>
  <si>
    <t>Visszafizetések</t>
  </si>
  <si>
    <t>önkormányzati befizetések</t>
  </si>
  <si>
    <t>Károsult eszközök beszerzése</t>
  </si>
  <si>
    <t>visszaigényelhető ÁFA</t>
  </si>
  <si>
    <t>kártérítés</t>
  </si>
  <si>
    <t>Földhasználati jog</t>
  </si>
  <si>
    <t>KEOP 2.3.0/2F/09-2010-023 II. ütem felhalmozási</t>
  </si>
  <si>
    <t>Ebből EU</t>
  </si>
  <si>
    <t>Nem támogatott beruházás</t>
  </si>
  <si>
    <t>Bérleti díj</t>
  </si>
  <si>
    <t>KEOP 1.1.1. C</t>
  </si>
  <si>
    <t>Díjkompenzáció szolgáltatóknak</t>
  </si>
  <si>
    <t>Ebből támogatás</t>
  </si>
  <si>
    <t>Tartalék</t>
  </si>
  <si>
    <t>Pénzmaradvány</t>
  </si>
  <si>
    <t>visszaigényelt Áfa 2013</t>
  </si>
  <si>
    <t>Működési bevételek:</t>
  </si>
  <si>
    <t xml:space="preserve">Működési bevétel </t>
  </si>
  <si>
    <t xml:space="preserve">                 visszaigényelhető ÁFA</t>
  </si>
  <si>
    <t xml:space="preserve">     Működési bevétel  Áfa nélkül</t>
  </si>
  <si>
    <t>Befizetendő ÁFA</t>
  </si>
  <si>
    <t>Társulás  kiadásaival kapcsolatos bérleti díj ÁFA-ja</t>
  </si>
  <si>
    <t>KIADÁS</t>
  </si>
  <si>
    <t>nettó</t>
  </si>
  <si>
    <t>ÁFA</t>
  </si>
  <si>
    <t>bruttó</t>
  </si>
  <si>
    <t>Nettó</t>
  </si>
  <si>
    <t>Áfa</t>
  </si>
  <si>
    <t>Bruttó</t>
  </si>
  <si>
    <t>Felhalmozási kiadások</t>
  </si>
  <si>
    <t>KA Felhalmozási kiadás</t>
  </si>
  <si>
    <t>Balatonfűzfő</t>
  </si>
  <si>
    <t>Papkeszi</t>
  </si>
  <si>
    <t>Litér</t>
  </si>
  <si>
    <t>Királyszentistván</t>
  </si>
  <si>
    <t>Vilonya</t>
  </si>
  <si>
    <t>Önkormányzati kifizetések</t>
  </si>
  <si>
    <t>Válogató és átrakó létesítmények beruházásai</t>
  </si>
  <si>
    <t>KEOP 2.3.0/2F/09-2010-023 II felhalmozási támogatott</t>
  </si>
  <si>
    <t>KEOP 2.3.0/2F/09-2010-023 II. felhalmozási nem támogatott</t>
  </si>
  <si>
    <t>Keop 1.1.1 C felhalmozási támogatott</t>
  </si>
  <si>
    <t>Keop1.1.1 C felhalmozási nem támogatott</t>
  </si>
  <si>
    <t>Felhalmozási tartalék pótlásra</t>
  </si>
  <si>
    <t>2014-es évben elkülönítendő</t>
  </si>
  <si>
    <t>Áltanános Tartalék</t>
  </si>
  <si>
    <t>Működési kiadások</t>
  </si>
  <si>
    <t>Bérköltség (engedélyezett létszám 3 fő)</t>
  </si>
  <si>
    <t>Bérköltség</t>
  </si>
  <si>
    <t>Járulékok</t>
  </si>
  <si>
    <t>Egyéb juttatások</t>
  </si>
  <si>
    <t>Dologi és egyéb kiadás</t>
  </si>
  <si>
    <t>ebből visszaigényelhető ÁFA-t tartalmazó</t>
  </si>
  <si>
    <t>ebből visszaigényelhető ÁFA-t nem tartalmazó</t>
  </si>
  <si>
    <t xml:space="preserve">Visszafizetési kötelezettség önerő átszámításból </t>
  </si>
  <si>
    <t>Befizetendő ÁFA (finanszírozással kapcsolatos)</t>
  </si>
  <si>
    <t>Társuláskiadásaival kapcsolatos  bérleti díj ÁFA-ja</t>
  </si>
  <si>
    <t>önkormányzati befizetés</t>
  </si>
  <si>
    <t>2013 és 2014 évi Bérleti díj</t>
  </si>
  <si>
    <t>2014 évi Bérleti díj ÁFÁja</t>
  </si>
  <si>
    <t>Támogatás</t>
  </si>
  <si>
    <t>ÉHÖT TÁRSULÁS MŰKÖDÉSI ÉS FELHALMOZÁSI</t>
  </si>
  <si>
    <t>A Magyarország gazdasági stabilitásáról szóló 2012. évi CXCIV. törvény 10. § (3) bekezdése által előírt hitelfelvételi korlát számításáról a 2014. évre tervezett beruházási hitel felvétel engedélyezéséhez</t>
  </si>
  <si>
    <t>Belső finanszírozásra szolgáló előző évek költségvetési maradványával korrigált egyenleg</t>
  </si>
  <si>
    <t>korábbi évekre elkülönített</t>
  </si>
  <si>
    <t>Kompenzációra átadott pénzeszköz önkormányzatnak</t>
  </si>
  <si>
    <t>Eszközbeszerzés</t>
  </si>
  <si>
    <t xml:space="preserve">KEOP 2.3.0/2F/09-2010-023 II. ütem </t>
  </si>
  <si>
    <t>ÉHÖT  Társulás</t>
  </si>
  <si>
    <t>Önkormányzati befizetések</t>
  </si>
  <si>
    <t>Támogatás államháztartáson belülről</t>
  </si>
  <si>
    <t>Éhöt Társulás</t>
  </si>
  <si>
    <t xml:space="preserve"> - Pótlási kiadásokra képzett céltartalék</t>
  </si>
  <si>
    <t>Tárgyi eszköz hasznosításból származó bevétel</t>
  </si>
  <si>
    <t>1. melléklet a ……/2014. (II.12) határozathoz</t>
  </si>
  <si>
    <t>2 melléklet a ……/2014. (II.12) határozathoz</t>
  </si>
  <si>
    <t>3 melléklet a ……/2014. (II.12) határozathoz</t>
  </si>
  <si>
    <t>11. melléklet a ……/2014. (II.12) Határozathoz</t>
  </si>
  <si>
    <t>12. melléklet a ……/2014. (II.12) Határozathoz</t>
  </si>
  <si>
    <t>10. melléklet a ……/2014. (II.12) Határozathoz</t>
  </si>
  <si>
    <t>9. melléklet a ……/2014. (II.12.) Határozathoz</t>
  </si>
  <si>
    <t>8. melléklet a ……/2014. (II.12.) Határozathoz</t>
  </si>
  <si>
    <t>6.  melléklet a ……/2014. (II.12.) Határozathoz</t>
  </si>
  <si>
    <t>5. melléklet a ……/2014. (II.12.) határozathoz</t>
  </si>
  <si>
    <t>NK</t>
  </si>
  <si>
    <t>4. melléklet a ……/2014. (II.12.) határozathoz</t>
  </si>
  <si>
    <t>7. melléklet a ……/2014. (II.12.) Határozathoz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</si>
</sst>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0.000000"/>
    <numFmt numFmtId="189" formatCode="0.00000"/>
    <numFmt numFmtId="190" formatCode="0.0000"/>
    <numFmt numFmtId="191" formatCode="#,###__"/>
    <numFmt numFmtId="192" formatCode="yyyy/mm"/>
    <numFmt numFmtId="193" formatCode="mmm/yyyy"/>
    <numFmt numFmtId="194" formatCode="[$-40E]mmmm\ d\.;@"/>
    <numFmt numFmtId="195" formatCode="#,##0.00000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  <numFmt numFmtId="204" formatCode="[$-F800]dddd\,\ mmmm\ dd\,\ yyyy"/>
  </numFmts>
  <fonts count="6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name val="Palatino Linotype"/>
      <family val="1"/>
    </font>
    <font>
      <b/>
      <sz val="14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i/>
      <sz val="9"/>
      <name val="Palatino Linotype"/>
      <family val="1"/>
    </font>
    <font>
      <sz val="12"/>
      <name val="Arial CE"/>
      <family val="0"/>
    </font>
    <font>
      <sz val="9"/>
      <name val="Times New Roman"/>
      <family val="1"/>
    </font>
    <font>
      <b/>
      <sz val="10.5"/>
      <name val="Palatino Linotype"/>
      <family val="1"/>
    </font>
    <font>
      <i/>
      <sz val="11"/>
      <name val="Palatino Linotype"/>
      <family val="1"/>
    </font>
    <font>
      <i/>
      <u val="single"/>
      <sz val="10"/>
      <name val="Palatino Linotype"/>
      <family val="1"/>
    </font>
    <font>
      <sz val="12"/>
      <name val="Times New Roman"/>
      <family val="1"/>
    </font>
    <font>
      <b/>
      <i/>
      <sz val="10"/>
      <name val="Palatino Linotype"/>
      <family val="1"/>
    </font>
    <font>
      <b/>
      <sz val="11"/>
      <color indexed="18"/>
      <name val="Palatino Linotype"/>
      <family val="1"/>
    </font>
    <font>
      <sz val="11"/>
      <color indexed="18"/>
      <name val="Palatino Linotype"/>
      <family val="1"/>
    </font>
    <font>
      <sz val="11"/>
      <name val="Arial"/>
      <family val="2"/>
    </font>
    <font>
      <sz val="9"/>
      <name val="Arial CE"/>
      <family val="0"/>
    </font>
    <font>
      <sz val="10"/>
      <name val="Times New Roman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sz val="10"/>
      <color indexed="1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20"/>
      <name val="Times New Roman"/>
      <family val="1"/>
    </font>
    <font>
      <sz val="10"/>
      <color indexed="20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medium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medium"/>
      <right style="hair"/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  <xf numFmtId="0" fontId="38" fillId="0" borderId="0">
      <alignment/>
      <protection/>
    </xf>
    <xf numFmtId="0" fontId="60" fillId="0" borderId="0">
      <alignment/>
      <protection/>
    </xf>
    <xf numFmtId="0" fontId="38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3" fontId="23" fillId="0" borderId="0" xfId="64" applyNumberFormat="1" applyFont="1" applyBorder="1">
      <alignment/>
      <protection/>
    </xf>
    <xf numFmtId="3" fontId="23" fillId="0" borderId="0" xfId="64" applyNumberFormat="1" applyFont="1">
      <alignment/>
      <protection/>
    </xf>
    <xf numFmtId="3" fontId="23" fillId="0" borderId="0" xfId="64" applyNumberFormat="1" applyFont="1" applyAlignment="1">
      <alignment horizontal="center"/>
      <protection/>
    </xf>
    <xf numFmtId="3" fontId="23" fillId="0" borderId="0" xfId="64" applyNumberFormat="1" applyFont="1" applyBorder="1" applyAlignment="1">
      <alignment horizontal="center"/>
      <protection/>
    </xf>
    <xf numFmtId="3" fontId="23" fillId="0" borderId="0" xfId="64" applyNumberFormat="1" applyFont="1" applyFill="1" applyBorder="1" applyAlignment="1">
      <alignment horizontal="center"/>
      <protection/>
    </xf>
    <xf numFmtId="3" fontId="23" fillId="0" borderId="0" xfId="64" applyNumberFormat="1" applyFont="1" applyFill="1" applyAlignment="1">
      <alignment horizontal="center"/>
      <protection/>
    </xf>
    <xf numFmtId="3" fontId="22" fillId="0" borderId="0" xfId="64" applyNumberFormat="1" applyFont="1" applyAlignment="1">
      <alignment horizontal="center"/>
      <protection/>
    </xf>
    <xf numFmtId="3" fontId="23" fillId="0" borderId="0" xfId="70" applyNumberFormat="1" applyFont="1" applyBorder="1">
      <alignment/>
      <protection/>
    </xf>
    <xf numFmtId="3" fontId="31" fillId="0" borderId="0" xfId="70" applyNumberFormat="1" applyFont="1" applyBorder="1">
      <alignment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23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3" fontId="22" fillId="0" borderId="0" xfId="0" applyNumberFormat="1" applyFont="1" applyAlignment="1">
      <alignment horizontal="center"/>
    </xf>
    <xf numFmtId="3" fontId="23" fillId="0" borderId="0" xfId="0" applyNumberFormat="1" applyFont="1" applyAlignment="1">
      <alignment vertical="top"/>
    </xf>
    <xf numFmtId="3" fontId="22" fillId="0" borderId="0" xfId="0" applyNumberFormat="1" applyFont="1" applyAlignment="1">
      <alignment horizontal="left" vertical="top"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Border="1" applyAlignment="1">
      <alignment horizontal="left"/>
    </xf>
    <xf numFmtId="3" fontId="24" fillId="0" borderId="0" xfId="0" applyNumberFormat="1" applyFont="1" applyAlignment="1">
      <alignment/>
    </xf>
    <xf numFmtId="3" fontId="23" fillId="0" borderId="12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 horizontal="center" vertical="top"/>
    </xf>
    <xf numFmtId="3" fontId="31" fillId="0" borderId="12" xfId="0" applyNumberFormat="1" applyFont="1" applyBorder="1" applyAlignment="1">
      <alignment vertical="center"/>
    </xf>
    <xf numFmtId="3" fontId="31" fillId="0" borderId="13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3" fontId="31" fillId="0" borderId="0" xfId="0" applyNumberFormat="1" applyFont="1" applyAlignment="1">
      <alignment vertical="center"/>
    </xf>
    <xf numFmtId="3" fontId="31" fillId="0" borderId="12" xfId="0" applyNumberFormat="1" applyFont="1" applyBorder="1" applyAlignment="1">
      <alignment vertical="top"/>
    </xf>
    <xf numFmtId="3" fontId="31" fillId="0" borderId="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31" fillId="0" borderId="0" xfId="0" applyNumberFormat="1" applyFont="1" applyAlignment="1">
      <alignment/>
    </xf>
    <xf numFmtId="3" fontId="23" fillId="0" borderId="0" xfId="70" applyNumberFormat="1" applyFont="1" applyBorder="1" applyAlignment="1">
      <alignment wrapText="1"/>
      <protection/>
    </xf>
    <xf numFmtId="3" fontId="23" fillId="0" borderId="12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0" xfId="70" applyNumberFormat="1" applyFont="1" applyBorder="1" applyAlignment="1">
      <alignment vertical="center"/>
      <protection/>
    </xf>
    <xf numFmtId="3" fontId="23" fillId="0" borderId="10" xfId="0" applyNumberFormat="1" applyFont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3" fontId="23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3" fillId="0" borderId="0" xfId="0" applyNumberFormat="1" applyFont="1" applyAlignment="1">
      <alignment/>
    </xf>
    <xf numFmtId="3" fontId="23" fillId="0" borderId="14" xfId="0" applyNumberFormat="1" applyFont="1" applyBorder="1" applyAlignment="1">
      <alignment vertical="top"/>
    </xf>
    <xf numFmtId="3" fontId="23" fillId="0" borderId="15" xfId="0" applyNumberFormat="1" applyFont="1" applyBorder="1" applyAlignment="1">
      <alignment horizontal="center" vertical="top"/>
    </xf>
    <xf numFmtId="3" fontId="23" fillId="0" borderId="15" xfId="70" applyNumberFormat="1" applyFont="1" applyBorder="1" applyAlignment="1">
      <alignment wrapText="1"/>
      <protection/>
    </xf>
    <xf numFmtId="3" fontId="24" fillId="0" borderId="16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 vertical="top"/>
    </xf>
    <xf numFmtId="3" fontId="24" fillId="0" borderId="0" xfId="0" applyNumberFormat="1" applyFont="1" applyBorder="1" applyAlignment="1">
      <alignment/>
    </xf>
    <xf numFmtId="3" fontId="23" fillId="0" borderId="17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3" fontId="23" fillId="0" borderId="0" xfId="0" applyNumberFormat="1" applyFont="1" applyAlignment="1">
      <alignment horizontal="left" vertical="top"/>
    </xf>
    <xf numFmtId="3" fontId="23" fillId="0" borderId="12" xfId="0" applyNumberFormat="1" applyFont="1" applyBorder="1" applyAlignment="1">
      <alignment/>
    </xf>
    <xf numFmtId="3" fontId="23" fillId="0" borderId="0" xfId="70" applyNumberFormat="1" applyFont="1" applyBorder="1" applyAlignment="1">
      <alignment/>
      <protection/>
    </xf>
    <xf numFmtId="3" fontId="31" fillId="0" borderId="0" xfId="0" applyNumberFormat="1" applyFont="1" applyBorder="1" applyAlignment="1">
      <alignment horizontal="center" vertical="top"/>
    </xf>
    <xf numFmtId="3" fontId="23" fillId="0" borderId="0" xfId="70" applyNumberFormat="1" applyFont="1" applyBorder="1" applyAlignment="1">
      <alignment vertical="top"/>
      <protection/>
    </xf>
    <xf numFmtId="3" fontId="31" fillId="0" borderId="13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right" vertical="top"/>
    </xf>
    <xf numFmtId="3" fontId="31" fillId="0" borderId="19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30" fillId="0" borderId="0" xfId="64" applyNumberFormat="1" applyFont="1" applyBorder="1">
      <alignment/>
      <protection/>
    </xf>
    <xf numFmtId="0" fontId="28" fillId="0" borderId="0" xfId="72" applyFont="1" applyFill="1" applyBorder="1" applyAlignment="1">
      <alignment vertical="center"/>
      <protection/>
    </xf>
    <xf numFmtId="3" fontId="25" fillId="0" borderId="0" xfId="0" applyNumberFormat="1" applyFont="1" applyFill="1" applyBorder="1" applyAlignment="1">
      <alignment/>
    </xf>
    <xf numFmtId="0" fontId="25" fillId="0" borderId="0" xfId="72" applyFont="1" applyFill="1" applyBorder="1" applyAlignment="1">
      <alignment horizontal="center" vertical="center"/>
      <protection/>
    </xf>
    <xf numFmtId="3" fontId="28" fillId="0" borderId="0" xfId="72" applyNumberFormat="1" applyFont="1" applyFill="1" applyBorder="1" applyAlignment="1">
      <alignment vertical="center"/>
      <protection/>
    </xf>
    <xf numFmtId="0" fontId="28" fillId="0" borderId="0" xfId="72" applyFont="1" applyFill="1" applyBorder="1" applyAlignment="1">
      <alignment horizontal="center" vertical="center"/>
      <protection/>
    </xf>
    <xf numFmtId="3" fontId="26" fillId="0" borderId="20" xfId="72" applyNumberFormat="1" applyFont="1" applyFill="1" applyBorder="1" applyAlignment="1">
      <alignment vertical="center"/>
      <protection/>
    </xf>
    <xf numFmtId="0" fontId="28" fillId="0" borderId="0" xfId="65" applyFont="1" applyFill="1" applyBorder="1" applyAlignment="1">
      <alignment vertical="center"/>
      <protection/>
    </xf>
    <xf numFmtId="0" fontId="28" fillId="0" borderId="0" xfId="71" applyFont="1" applyFill="1" applyBorder="1" applyAlignment="1">
      <alignment vertical="center"/>
      <protection/>
    </xf>
    <xf numFmtId="0" fontId="28" fillId="0" borderId="0" xfId="72" applyFont="1" applyFill="1" applyBorder="1" applyAlignment="1">
      <alignment vertical="center" wrapText="1"/>
      <protection/>
    </xf>
    <xf numFmtId="3" fontId="25" fillId="0" borderId="0" xfId="72" applyNumberFormat="1" applyFont="1" applyFill="1" applyBorder="1" applyAlignment="1">
      <alignment vertical="center"/>
      <protection/>
    </xf>
    <xf numFmtId="3" fontId="28" fillId="0" borderId="21" xfId="72" applyNumberFormat="1" applyFont="1" applyFill="1" applyBorder="1" applyAlignment="1">
      <alignment vertical="center"/>
      <protection/>
    </xf>
    <xf numFmtId="0" fontId="28" fillId="0" borderId="21" xfId="72" applyFont="1" applyFill="1" applyBorder="1" applyAlignment="1">
      <alignment vertical="center"/>
      <protection/>
    </xf>
    <xf numFmtId="0" fontId="28" fillId="0" borderId="0" xfId="0" applyFont="1" applyFill="1" applyBorder="1" applyAlignment="1">
      <alignment/>
    </xf>
    <xf numFmtId="3" fontId="23" fillId="0" borderId="0" xfId="0" applyNumberFormat="1" applyFont="1" applyAlignment="1">
      <alignment horizontal="right"/>
    </xf>
    <xf numFmtId="3" fontId="24" fillId="0" borderId="18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 vertical="top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center"/>
    </xf>
    <xf numFmtId="166" fontId="23" fillId="0" borderId="0" xfId="0" applyNumberFormat="1" applyFont="1" applyBorder="1" applyAlignment="1">
      <alignment vertical="center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166" fontId="23" fillId="0" borderId="0" xfId="0" applyNumberFormat="1" applyFont="1" applyBorder="1" applyAlignment="1">
      <alignment/>
    </xf>
    <xf numFmtId="0" fontId="23" fillId="0" borderId="26" xfId="0" applyFont="1" applyBorder="1" applyAlignment="1">
      <alignment horizontal="center" vertical="top"/>
    </xf>
    <xf numFmtId="3" fontId="23" fillId="0" borderId="27" xfId="0" applyNumberFormat="1" applyFont="1" applyBorder="1" applyAlignment="1">
      <alignment/>
    </xf>
    <xf numFmtId="0" fontId="23" fillId="0" borderId="28" xfId="0" applyFont="1" applyBorder="1" applyAlignment="1">
      <alignment horizontal="center"/>
    </xf>
    <xf numFmtId="3" fontId="23" fillId="0" borderId="29" xfId="0" applyNumberFormat="1" applyFont="1" applyBorder="1" applyAlignment="1">
      <alignment/>
    </xf>
    <xf numFmtId="0" fontId="23" fillId="0" borderId="28" xfId="0" applyFont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3" fontId="23" fillId="0" borderId="29" xfId="0" applyNumberFormat="1" applyFont="1" applyBorder="1" applyAlignment="1">
      <alignment vertical="top"/>
    </xf>
    <xf numFmtId="0" fontId="24" fillId="0" borderId="30" xfId="0" applyFont="1" applyBorder="1" applyAlignment="1">
      <alignment horizontal="right" vertical="center"/>
    </xf>
    <xf numFmtId="0" fontId="24" fillId="0" borderId="13" xfId="0" applyFont="1" applyFill="1" applyBorder="1" applyAlignment="1">
      <alignment horizontal="left" vertical="center"/>
    </xf>
    <xf numFmtId="3" fontId="24" fillId="0" borderId="30" xfId="0" applyNumberFormat="1" applyFont="1" applyBorder="1" applyAlignment="1">
      <alignment vertical="center"/>
    </xf>
    <xf numFmtId="3" fontId="24" fillId="0" borderId="31" xfId="0" applyNumberFormat="1" applyFont="1" applyBorder="1" applyAlignment="1">
      <alignment horizontal="center" vertical="center"/>
    </xf>
    <xf numFmtId="3" fontId="24" fillId="0" borderId="32" xfId="0" applyNumberFormat="1" applyFont="1" applyBorder="1" applyAlignment="1">
      <alignment horizontal="right" vertical="center"/>
    </xf>
    <xf numFmtId="0" fontId="24" fillId="0" borderId="26" xfId="0" applyFont="1" applyBorder="1" applyAlignment="1">
      <alignment horizontal="left"/>
    </xf>
    <xf numFmtId="3" fontId="24" fillId="0" borderId="27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3" fontId="23" fillId="0" borderId="29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 horizontal="center" vertical="center" textRotation="180"/>
    </xf>
    <xf numFmtId="0" fontId="23" fillId="0" borderId="26" xfId="0" applyFont="1" applyBorder="1" applyAlignment="1">
      <alignment horizontal="center"/>
    </xf>
    <xf numFmtId="3" fontId="23" fillId="0" borderId="27" xfId="0" applyNumberFormat="1" applyFont="1" applyBorder="1" applyAlignment="1">
      <alignment horizontal="right"/>
    </xf>
    <xf numFmtId="1" fontId="23" fillId="0" borderId="28" xfId="0" applyNumberFormat="1" applyFont="1" applyBorder="1" applyAlignment="1">
      <alignment horizontal="center"/>
    </xf>
    <xf numFmtId="10" fontId="23" fillId="0" borderId="0" xfId="0" applyNumberFormat="1" applyFont="1" applyBorder="1" applyAlignment="1">
      <alignment horizontal="right"/>
    </xf>
    <xf numFmtId="0" fontId="23" fillId="0" borderId="26" xfId="0" applyFont="1" applyBorder="1" applyAlignment="1">
      <alignment horizontal="right"/>
    </xf>
    <xf numFmtId="0" fontId="24" fillId="0" borderId="33" xfId="0" applyFont="1" applyBorder="1" applyAlignment="1">
      <alignment horizontal="right" vertical="center"/>
    </xf>
    <xf numFmtId="0" fontId="24" fillId="0" borderId="19" xfId="0" applyFont="1" applyFill="1" applyBorder="1" applyAlignment="1">
      <alignment horizontal="left" vertical="center"/>
    </xf>
    <xf numFmtId="3" fontId="24" fillId="0" borderId="34" xfId="0" applyNumberFormat="1" applyFont="1" applyBorder="1" applyAlignment="1">
      <alignment vertical="center"/>
    </xf>
    <xf numFmtId="3" fontId="24" fillId="0" borderId="35" xfId="0" applyNumberFormat="1" applyFont="1" applyBorder="1" applyAlignment="1">
      <alignment horizontal="center" vertical="center"/>
    </xf>
    <xf numFmtId="3" fontId="24" fillId="0" borderId="36" xfId="0" applyNumberFormat="1" applyFont="1" applyBorder="1" applyAlignment="1">
      <alignment horizontal="right" vertical="center"/>
    </xf>
    <xf numFmtId="0" fontId="24" fillId="0" borderId="37" xfId="0" applyFont="1" applyBorder="1" applyAlignment="1">
      <alignment vertical="center"/>
    </xf>
    <xf numFmtId="0" fontId="24" fillId="0" borderId="38" xfId="0" applyFont="1" applyBorder="1" applyAlignment="1">
      <alignment horizontal="center" vertical="center"/>
    </xf>
    <xf numFmtId="3" fontId="24" fillId="0" borderId="39" xfId="0" applyNumberFormat="1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3" fontId="24" fillId="0" borderId="41" xfId="0" applyNumberFormat="1" applyFont="1" applyBorder="1" applyAlignment="1">
      <alignment vertical="center"/>
    </xf>
    <xf numFmtId="0" fontId="23" fillId="0" borderId="26" xfId="0" applyFont="1" applyBorder="1" applyAlignment="1">
      <alignment horizontal="right" vertical="center"/>
    </xf>
    <xf numFmtId="3" fontId="23" fillId="0" borderId="27" xfId="0" applyNumberFormat="1" applyFont="1" applyBorder="1" applyAlignment="1">
      <alignment vertical="center"/>
    </xf>
    <xf numFmtId="0" fontId="23" fillId="0" borderId="28" xfId="0" applyFont="1" applyFill="1" applyBorder="1" applyAlignment="1">
      <alignment horizontal="center" vertical="center"/>
    </xf>
    <xf numFmtId="3" fontId="23" fillId="0" borderId="29" xfId="0" applyNumberFormat="1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3" fontId="23" fillId="0" borderId="34" xfId="0" applyNumberFormat="1" applyFont="1" applyBorder="1" applyAlignment="1">
      <alignment vertical="center"/>
    </xf>
    <xf numFmtId="0" fontId="23" fillId="0" borderId="35" xfId="0" applyFont="1" applyFill="1" applyBorder="1" applyAlignment="1">
      <alignment horizontal="center" vertical="center"/>
    </xf>
    <xf numFmtId="3" fontId="23" fillId="0" borderId="36" xfId="0" applyNumberFormat="1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3" xfId="0" applyFont="1" applyBorder="1" applyAlignment="1">
      <alignment horizontal="right" vertical="center"/>
    </xf>
    <xf numFmtId="3" fontId="24" fillId="0" borderId="33" xfId="0" applyNumberFormat="1" applyFont="1" applyBorder="1" applyAlignment="1">
      <alignment vertical="center"/>
    </xf>
    <xf numFmtId="0" fontId="24" fillId="0" borderId="35" xfId="0" applyFont="1" applyBorder="1" applyAlignment="1">
      <alignment horizontal="right" vertical="center"/>
    </xf>
    <xf numFmtId="3" fontId="24" fillId="0" borderId="36" xfId="0" applyNumberFormat="1" applyFont="1" applyBorder="1" applyAlignment="1">
      <alignment vertical="center"/>
    </xf>
    <xf numFmtId="0" fontId="24" fillId="0" borderId="42" xfId="0" applyFont="1" applyBorder="1" applyAlignment="1">
      <alignment horizontal="right" vertical="center"/>
    </xf>
    <xf numFmtId="0" fontId="24" fillId="0" borderId="43" xfId="0" applyFont="1" applyFill="1" applyBorder="1" applyAlignment="1">
      <alignment horizontal="left" vertical="center"/>
    </xf>
    <xf numFmtId="3" fontId="24" fillId="0" borderId="44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3" fontId="24" fillId="0" borderId="29" xfId="0" applyNumberFormat="1" applyFont="1" applyBorder="1" applyAlignment="1">
      <alignment horizontal="right" vertical="center"/>
    </xf>
    <xf numFmtId="0" fontId="24" fillId="0" borderId="45" xfId="0" applyFont="1" applyBorder="1" applyAlignment="1">
      <alignment horizontal="right" vertical="center"/>
    </xf>
    <xf numFmtId="0" fontId="24" fillId="0" borderId="15" xfId="0" applyFont="1" applyFill="1" applyBorder="1" applyAlignment="1">
      <alignment horizontal="left" vertical="center"/>
    </xf>
    <xf numFmtId="3" fontId="24" fillId="0" borderId="46" xfId="0" applyNumberFormat="1" applyFont="1" applyBorder="1" applyAlignment="1">
      <alignment vertical="center"/>
    </xf>
    <xf numFmtId="3" fontId="24" fillId="0" borderId="47" xfId="0" applyNumberFormat="1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right" vertical="center"/>
    </xf>
    <xf numFmtId="165" fontId="23" fillId="0" borderId="29" xfId="80" applyNumberFormat="1" applyFont="1" applyBorder="1" applyAlignment="1">
      <alignment horizontal="center"/>
    </xf>
    <xf numFmtId="0" fontId="23" fillId="0" borderId="28" xfId="0" applyFont="1" applyBorder="1" applyAlignment="1">
      <alignment horizontal="right"/>
    </xf>
    <xf numFmtId="0" fontId="23" fillId="0" borderId="45" xfId="0" applyFont="1" applyBorder="1" applyAlignment="1">
      <alignment horizontal="right"/>
    </xf>
    <xf numFmtId="0" fontId="23" fillId="0" borderId="15" xfId="0" applyFont="1" applyBorder="1" applyAlignment="1">
      <alignment/>
    </xf>
    <xf numFmtId="165" fontId="23" fillId="0" borderId="48" xfId="80" applyNumberFormat="1" applyFont="1" applyBorder="1" applyAlignment="1">
      <alignment horizontal="center"/>
    </xf>
    <xf numFmtId="0" fontId="23" fillId="0" borderId="47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8" fillId="0" borderId="0" xfId="0" applyFont="1" applyFill="1" applyAlignment="1">
      <alignment horizontal="center" vertical="center"/>
    </xf>
    <xf numFmtId="4" fontId="28" fillId="0" borderId="0" xfId="0" applyNumberFormat="1" applyFont="1" applyFill="1" applyBorder="1" applyAlignment="1">
      <alignment horizontal="left" vertical="center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4" fontId="28" fillId="0" borderId="49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79" fontId="25" fillId="0" borderId="17" xfId="0" applyNumberFormat="1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horizontal="right" vertical="center"/>
    </xf>
    <xf numFmtId="0" fontId="23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24" fillId="0" borderId="50" xfId="0" applyFont="1" applyBorder="1" applyAlignment="1">
      <alignment/>
    </xf>
    <xf numFmtId="3" fontId="24" fillId="0" borderId="11" xfId="0" applyNumberFormat="1" applyFont="1" applyBorder="1" applyAlignment="1">
      <alignment horizontal="left"/>
    </xf>
    <xf numFmtId="0" fontId="23" fillId="0" borderId="5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 horizontal="right" vertical="top"/>
    </xf>
    <xf numFmtId="0" fontId="24" fillId="0" borderId="12" xfId="0" applyFont="1" applyBorder="1" applyAlignment="1">
      <alignment vertical="top"/>
    </xf>
    <xf numFmtId="3" fontId="24" fillId="0" borderId="0" xfId="0" applyNumberFormat="1" applyFont="1" applyBorder="1" applyAlignment="1">
      <alignment horizontal="left" vertical="top"/>
    </xf>
    <xf numFmtId="0" fontId="24" fillId="0" borderId="10" xfId="0" applyFont="1" applyBorder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3" fillId="0" borderId="53" xfId="0" applyFont="1" applyBorder="1" applyAlignment="1">
      <alignment/>
    </xf>
    <xf numFmtId="3" fontId="24" fillId="0" borderId="53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3" fillId="0" borderId="0" xfId="0" applyFont="1" applyFill="1" applyBorder="1" applyAlignment="1">
      <alignment vertical="top"/>
    </xf>
    <xf numFmtId="3" fontId="24" fillId="0" borderId="0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3" fontId="23" fillId="0" borderId="0" xfId="70" applyNumberFormat="1" applyFont="1" applyBorder="1" applyAlignment="1">
      <alignment horizontal="center"/>
      <protection/>
    </xf>
    <xf numFmtId="3" fontId="23" fillId="0" borderId="0" xfId="70" applyNumberFormat="1" applyFont="1" applyBorder="1" applyAlignment="1">
      <alignment horizontal="center" wrapText="1"/>
      <protection/>
    </xf>
    <xf numFmtId="3" fontId="31" fillId="0" borderId="0" xfId="70" applyNumberFormat="1" applyFont="1" applyBorder="1" applyAlignment="1">
      <alignment horizontal="center"/>
      <protection/>
    </xf>
    <xf numFmtId="3" fontId="23" fillId="0" borderId="0" xfId="70" applyNumberFormat="1" applyFont="1" applyBorder="1" applyAlignment="1">
      <alignment horizontal="center" vertical="top"/>
      <protection/>
    </xf>
    <xf numFmtId="3" fontId="23" fillId="0" borderId="0" xfId="70" applyNumberFormat="1" applyFont="1" applyBorder="1" applyAlignment="1">
      <alignment horizontal="center" vertical="center"/>
      <protection/>
    </xf>
    <xf numFmtId="3" fontId="24" fillId="0" borderId="0" xfId="0" applyNumberFormat="1" applyFont="1" applyBorder="1" applyAlignment="1">
      <alignment horizontal="center"/>
    </xf>
    <xf numFmtId="3" fontId="31" fillId="0" borderId="19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top"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vertical="center"/>
    </xf>
    <xf numFmtId="3" fontId="24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9" fillId="0" borderId="13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/>
    </xf>
    <xf numFmtId="3" fontId="39" fillId="0" borderId="54" xfId="0" applyNumberFormat="1" applyFont="1" applyBorder="1" applyAlignment="1">
      <alignment vertical="center"/>
    </xf>
    <xf numFmtId="3" fontId="24" fillId="0" borderId="54" xfId="0" applyNumberFormat="1" applyFont="1" applyBorder="1" applyAlignment="1">
      <alignment vertical="center"/>
    </xf>
    <xf numFmtId="3" fontId="24" fillId="0" borderId="55" xfId="0" applyNumberFormat="1" applyFont="1" applyBorder="1" applyAlignment="1">
      <alignment/>
    </xf>
    <xf numFmtId="4" fontId="28" fillId="0" borderId="49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25" fillId="0" borderId="18" xfId="0" applyNumberFormat="1" applyFont="1" applyFill="1" applyBorder="1" applyAlignment="1">
      <alignment vertical="center"/>
    </xf>
    <xf numFmtId="4" fontId="25" fillId="0" borderId="5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179" fontId="28" fillId="0" borderId="12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3" fontId="23" fillId="0" borderId="0" xfId="64" applyNumberFormat="1" applyFont="1" applyAlignment="1">
      <alignment horizontal="left"/>
      <protection/>
    </xf>
    <xf numFmtId="3" fontId="24" fillId="0" borderId="0" xfId="64" applyNumberFormat="1" applyFont="1" applyBorder="1">
      <alignment/>
      <protection/>
    </xf>
    <xf numFmtId="3" fontId="24" fillId="0" borderId="0" xfId="64" applyNumberFormat="1" applyFont="1">
      <alignment/>
      <protection/>
    </xf>
    <xf numFmtId="3" fontId="24" fillId="0" borderId="0" xfId="64" applyNumberFormat="1" applyFont="1" applyFill="1" applyBorder="1" applyAlignment="1">
      <alignment horizontal="center"/>
      <protection/>
    </xf>
    <xf numFmtId="3" fontId="24" fillId="0" borderId="0" xfId="64" applyNumberFormat="1" applyFont="1" applyFill="1" applyBorder="1">
      <alignment/>
      <protection/>
    </xf>
    <xf numFmtId="3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center" vertical="center"/>
    </xf>
    <xf numFmtId="3" fontId="23" fillId="0" borderId="0" xfId="64" applyNumberFormat="1" applyFont="1" applyFill="1" applyAlignment="1">
      <alignment horizontal="right"/>
      <protection/>
    </xf>
    <xf numFmtId="3" fontId="23" fillId="0" borderId="0" xfId="64" applyNumberFormat="1" applyFont="1" applyBorder="1" applyAlignment="1">
      <alignment vertical="center"/>
      <protection/>
    </xf>
    <xf numFmtId="3" fontId="24" fillId="0" borderId="0" xfId="64" applyNumberFormat="1" applyFont="1" applyAlignment="1">
      <alignment horizontal="center" vertical="center"/>
      <protection/>
    </xf>
    <xf numFmtId="3" fontId="23" fillId="0" borderId="0" xfId="64" applyNumberFormat="1" applyFont="1" applyAlignment="1">
      <alignment vertical="center"/>
      <protection/>
    </xf>
    <xf numFmtId="0" fontId="24" fillId="0" borderId="0" xfId="64" applyFont="1" applyFill="1" applyBorder="1">
      <alignment/>
      <protection/>
    </xf>
    <xf numFmtId="3" fontId="23" fillId="0" borderId="0" xfId="64" applyNumberFormat="1" applyFont="1" applyFill="1" applyAlignment="1">
      <alignment/>
      <protection/>
    </xf>
    <xf numFmtId="3" fontId="24" fillId="0" borderId="0" xfId="64" applyNumberFormat="1" applyFont="1" applyBorder="1" applyAlignment="1">
      <alignment horizontal="center" vertical="center"/>
      <protection/>
    </xf>
    <xf numFmtId="3" fontId="25" fillId="0" borderId="0" xfId="64" applyNumberFormat="1" applyFont="1" applyAlignment="1">
      <alignment horizontal="center"/>
      <protection/>
    </xf>
    <xf numFmtId="0" fontId="23" fillId="0" borderId="0" xfId="64" applyFont="1" applyBorder="1">
      <alignment/>
      <protection/>
    </xf>
    <xf numFmtId="0" fontId="23" fillId="0" borderId="0" xfId="64" applyFont="1" applyBorder="1" applyAlignment="1">
      <alignment horizontal="center"/>
      <protection/>
    </xf>
    <xf numFmtId="3" fontId="22" fillId="0" borderId="15" xfId="0" applyNumberFormat="1" applyFont="1" applyBorder="1" applyAlignment="1">
      <alignment/>
    </xf>
    <xf numFmtId="3" fontId="22" fillId="0" borderId="0" xfId="64" applyNumberFormat="1" applyFont="1" applyFill="1">
      <alignment/>
      <protection/>
    </xf>
    <xf numFmtId="3" fontId="22" fillId="0" borderId="0" xfId="64" applyNumberFormat="1" applyFont="1" applyFill="1" applyAlignment="1">
      <alignment horizontal="center"/>
      <protection/>
    </xf>
    <xf numFmtId="3" fontId="22" fillId="0" borderId="57" xfId="64" applyNumberFormat="1" applyFont="1" applyBorder="1" applyAlignment="1">
      <alignment horizontal="center" vertical="center" wrapText="1"/>
      <protection/>
    </xf>
    <xf numFmtId="3" fontId="30" fillId="0" borderId="0" xfId="64" applyNumberFormat="1" applyFont="1" applyFill="1" applyBorder="1">
      <alignment/>
      <protection/>
    </xf>
    <xf numFmtId="3" fontId="22" fillId="0" borderId="0" xfId="64" applyNumberFormat="1" applyFont="1">
      <alignment/>
      <protection/>
    </xf>
    <xf numFmtId="3" fontId="30" fillId="0" borderId="0" xfId="64" applyNumberFormat="1" applyFont="1" applyFill="1">
      <alignment/>
      <protection/>
    </xf>
    <xf numFmtId="3" fontId="30" fillId="0" borderId="0" xfId="64" applyNumberFormat="1" applyFont="1">
      <alignment/>
      <protection/>
    </xf>
    <xf numFmtId="3" fontId="32" fillId="0" borderId="13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30" fillId="0" borderId="18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/>
    </xf>
    <xf numFmtId="3" fontId="22" fillId="0" borderId="15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3" fontId="30" fillId="0" borderId="53" xfId="0" applyNumberFormat="1" applyFont="1" applyBorder="1" applyAlignment="1">
      <alignment vertical="top"/>
    </xf>
    <xf numFmtId="3" fontId="30" fillId="0" borderId="53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top"/>
    </xf>
    <xf numFmtId="3" fontId="30" fillId="0" borderId="0" xfId="0" applyNumberFormat="1" applyFont="1" applyBorder="1" applyAlignment="1">
      <alignment/>
    </xf>
    <xf numFmtId="3" fontId="32" fillId="0" borderId="19" xfId="0" applyNumberFormat="1" applyFont="1" applyBorder="1" applyAlignment="1">
      <alignment vertical="center"/>
    </xf>
    <xf numFmtId="3" fontId="22" fillId="0" borderId="0" xfId="64" applyNumberFormat="1" applyFont="1" applyFill="1" applyAlignment="1">
      <alignment/>
      <protection/>
    </xf>
    <xf numFmtId="3" fontId="30" fillId="0" borderId="0" xfId="64" applyNumberFormat="1" applyFont="1" applyBorder="1" applyAlignment="1">
      <alignment horizontal="center"/>
      <protection/>
    </xf>
    <xf numFmtId="3" fontId="30" fillId="0" borderId="0" xfId="64" applyNumberFormat="1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3" fontId="28" fillId="0" borderId="53" xfId="0" applyNumberFormat="1" applyFont="1" applyBorder="1" applyAlignment="1">
      <alignment horizontal="center"/>
    </xf>
    <xf numFmtId="3" fontId="28" fillId="0" borderId="53" xfId="0" applyNumberFormat="1" applyFont="1" applyFill="1" applyBorder="1" applyAlignment="1">
      <alignment horizontal="center"/>
    </xf>
    <xf numFmtId="3" fontId="28" fillId="0" borderId="0" xfId="64" applyNumberFormat="1" applyFont="1" applyAlignment="1">
      <alignment horizontal="center"/>
      <protection/>
    </xf>
    <xf numFmtId="3" fontId="28" fillId="0" borderId="0" xfId="64" applyNumberFormat="1" applyFont="1" applyBorder="1">
      <alignment/>
      <protection/>
    </xf>
    <xf numFmtId="3" fontId="28" fillId="0" borderId="0" xfId="64" applyNumberFormat="1" applyFont="1">
      <alignment/>
      <protection/>
    </xf>
    <xf numFmtId="3" fontId="25" fillId="0" borderId="58" xfId="64" applyNumberFormat="1" applyFont="1" applyBorder="1" applyAlignment="1">
      <alignment horizontal="left" vertical="center" textRotation="90" wrapText="1"/>
      <protection/>
    </xf>
    <xf numFmtId="3" fontId="25" fillId="0" borderId="59" xfId="64" applyNumberFormat="1" applyFont="1" applyBorder="1" applyAlignment="1">
      <alignment horizontal="left" vertical="center" textRotation="90" wrapText="1"/>
      <protection/>
    </xf>
    <xf numFmtId="3" fontId="25" fillId="0" borderId="59" xfId="64" applyNumberFormat="1" applyFont="1" applyBorder="1" applyAlignment="1">
      <alignment horizontal="left" vertical="center" wrapText="1"/>
      <protection/>
    </xf>
    <xf numFmtId="3" fontId="25" fillId="0" borderId="59" xfId="64" applyNumberFormat="1" applyFont="1" applyBorder="1" applyAlignment="1">
      <alignment horizontal="right" vertical="center" wrapText="1"/>
      <protection/>
    </xf>
    <xf numFmtId="3" fontId="25" fillId="0" borderId="0" xfId="64" applyNumberFormat="1" applyFont="1" applyBorder="1" applyAlignment="1">
      <alignment horizontal="left"/>
      <protection/>
    </xf>
    <xf numFmtId="3" fontId="25" fillId="0" borderId="0" xfId="64" applyNumberFormat="1" applyFont="1" applyAlignment="1">
      <alignment horizontal="left"/>
      <protection/>
    </xf>
    <xf numFmtId="3" fontId="25" fillId="0" borderId="12" xfId="64" applyNumberFormat="1" applyFont="1" applyBorder="1" applyAlignment="1">
      <alignment horizontal="left" vertical="center" textRotation="90" wrapText="1"/>
      <protection/>
    </xf>
    <xf numFmtId="3" fontId="25" fillId="0" borderId="0" xfId="64" applyNumberFormat="1" applyFont="1" applyBorder="1" applyAlignment="1">
      <alignment horizontal="left" vertical="center" textRotation="90" wrapText="1"/>
      <protection/>
    </xf>
    <xf numFmtId="3" fontId="25" fillId="0" borderId="0" xfId="64" applyNumberFormat="1" applyFont="1" applyBorder="1" applyAlignment="1">
      <alignment horizontal="left" vertical="center" wrapText="1"/>
      <protection/>
    </xf>
    <xf numFmtId="3" fontId="25" fillId="0" borderId="0" xfId="64" applyNumberFormat="1" applyFont="1" applyBorder="1" applyAlignment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8" fillId="0" borderId="0" xfId="0" applyFont="1" applyBorder="1" applyAlignment="1">
      <alignment horizontal="center" vertical="top"/>
    </xf>
    <xf numFmtId="3" fontId="28" fillId="0" borderId="10" xfId="0" applyNumberFormat="1" applyFont="1" applyFill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3" fontId="28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3" fontId="25" fillId="0" borderId="60" xfId="64" applyNumberFormat="1" applyFont="1" applyBorder="1" applyAlignment="1">
      <alignment horizontal="left" vertical="center" textRotation="90" wrapText="1"/>
      <protection/>
    </xf>
    <xf numFmtId="3" fontId="25" fillId="0" borderId="13" xfId="64" applyNumberFormat="1" applyFont="1" applyBorder="1" applyAlignment="1">
      <alignment horizontal="left" vertical="center" textRotation="90" wrapText="1"/>
      <protection/>
    </xf>
    <xf numFmtId="3" fontId="25" fillId="0" borderId="13" xfId="64" applyNumberFormat="1" applyFont="1" applyBorder="1" applyAlignment="1">
      <alignment horizontal="left" vertical="center" wrapText="1"/>
      <protection/>
    </xf>
    <xf numFmtId="3" fontId="25" fillId="0" borderId="13" xfId="64" applyNumberFormat="1" applyFont="1" applyBorder="1" applyAlignment="1">
      <alignment horizontal="right" vertical="center" wrapText="1"/>
      <protection/>
    </xf>
    <xf numFmtId="0" fontId="25" fillId="0" borderId="13" xfId="0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3" fontId="25" fillId="0" borderId="54" xfId="0" applyNumberFormat="1" applyFont="1" applyFill="1" applyBorder="1" applyAlignment="1">
      <alignment/>
    </xf>
    <xf numFmtId="0" fontId="25" fillId="0" borderId="6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6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19" xfId="0" applyNumberFormat="1" applyFont="1" applyBorder="1" applyAlignment="1">
      <alignment/>
    </xf>
    <xf numFmtId="0" fontId="25" fillId="0" borderId="62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63" xfId="0" applyFont="1" applyBorder="1" applyAlignment="1">
      <alignment/>
    </xf>
    <xf numFmtId="3" fontId="25" fillId="0" borderId="63" xfId="0" applyNumberFormat="1" applyFont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6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6" xfId="0" applyFont="1" applyBorder="1" applyAlignment="1">
      <alignment vertical="center"/>
    </xf>
    <xf numFmtId="3" fontId="25" fillId="0" borderId="66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8" fillId="0" borderId="0" xfId="0" applyNumberFormat="1" applyFont="1" applyFill="1" applyAlignment="1">
      <alignment/>
    </xf>
    <xf numFmtId="3" fontId="28" fillId="0" borderId="0" xfId="64" applyNumberFormat="1" applyFont="1" applyFill="1">
      <alignment/>
      <protection/>
    </xf>
    <xf numFmtId="3" fontId="28" fillId="0" borderId="0" xfId="64" applyNumberFormat="1" applyFont="1" applyAlignment="1">
      <alignment horizontal="right"/>
      <protection/>
    </xf>
    <xf numFmtId="3" fontId="28" fillId="0" borderId="0" xfId="64" applyNumberFormat="1" applyFont="1" applyAlignment="1">
      <alignment/>
      <protection/>
    </xf>
    <xf numFmtId="49" fontId="25" fillId="0" borderId="0" xfId="64" applyNumberFormat="1" applyFont="1" applyFill="1" applyAlignment="1">
      <alignment horizontal="center"/>
      <protection/>
    </xf>
    <xf numFmtId="3" fontId="25" fillId="0" borderId="0" xfId="64" applyNumberFormat="1" applyFont="1" applyFill="1" applyAlignment="1">
      <alignment horizontal="center"/>
      <protection/>
    </xf>
    <xf numFmtId="3" fontId="28" fillId="0" borderId="0" xfId="64" applyNumberFormat="1" applyFont="1" applyFill="1" applyAlignment="1">
      <alignment horizontal="center"/>
      <protection/>
    </xf>
    <xf numFmtId="3" fontId="40" fillId="0" borderId="0" xfId="64" applyNumberFormat="1" applyFont="1" applyAlignment="1">
      <alignment horizontal="center"/>
      <protection/>
    </xf>
    <xf numFmtId="3" fontId="40" fillId="0" borderId="0" xfId="64" applyNumberFormat="1" applyFont="1" applyFill="1" applyAlignment="1">
      <alignment horizontal="center"/>
      <protection/>
    </xf>
    <xf numFmtId="3" fontId="41" fillId="0" borderId="0" xfId="64" applyNumberFormat="1" applyFont="1" applyAlignment="1">
      <alignment horizontal="right"/>
      <protection/>
    </xf>
    <xf numFmtId="3" fontId="28" fillId="0" borderId="0" xfId="64" applyNumberFormat="1" applyFont="1" applyBorder="1" applyAlignment="1">
      <alignment horizontal="center"/>
      <protection/>
    </xf>
    <xf numFmtId="3" fontId="28" fillId="0" borderId="0" xfId="64" applyNumberFormat="1" applyFont="1" applyAlignment="1">
      <alignment horizontal="center" vertical="center"/>
      <protection/>
    </xf>
    <xf numFmtId="3" fontId="28" fillId="0" borderId="0" xfId="64" applyNumberFormat="1" applyFont="1" applyBorder="1" applyAlignment="1">
      <alignment horizontal="center" vertical="center"/>
      <protection/>
    </xf>
    <xf numFmtId="3" fontId="25" fillId="0" borderId="0" xfId="64" applyNumberFormat="1" applyFont="1" applyBorder="1">
      <alignment/>
      <protection/>
    </xf>
    <xf numFmtId="3" fontId="25" fillId="0" borderId="0" xfId="64" applyNumberFormat="1" applyFont="1">
      <alignment/>
      <protection/>
    </xf>
    <xf numFmtId="3" fontId="28" fillId="0" borderId="0" xfId="64" applyNumberFormat="1" applyFont="1" applyFill="1" applyBorder="1">
      <alignment/>
      <protection/>
    </xf>
    <xf numFmtId="3" fontId="25" fillId="0" borderId="0" xfId="64" applyNumberFormat="1" applyFont="1" applyFill="1" applyBorder="1">
      <alignment/>
      <protection/>
    </xf>
    <xf numFmtId="3" fontId="36" fillId="0" borderId="0" xfId="64" applyNumberFormat="1" applyFont="1" applyBorder="1">
      <alignment/>
      <protection/>
    </xf>
    <xf numFmtId="3" fontId="36" fillId="0" borderId="0" xfId="64" applyNumberFormat="1" applyFont="1">
      <alignment/>
      <protection/>
    </xf>
    <xf numFmtId="3" fontId="42" fillId="0" borderId="0" xfId="64" applyNumberFormat="1" applyFont="1" applyBorder="1">
      <alignment/>
      <protection/>
    </xf>
    <xf numFmtId="3" fontId="25" fillId="0" borderId="0" xfId="64" applyNumberFormat="1" applyFont="1" applyBorder="1" applyAlignment="1">
      <alignment vertical="center"/>
      <protection/>
    </xf>
    <xf numFmtId="3" fontId="28" fillId="0" borderId="0" xfId="64" applyNumberFormat="1" applyFont="1" applyBorder="1" applyAlignment="1">
      <alignment/>
      <protection/>
    </xf>
    <xf numFmtId="49" fontId="28" fillId="22" borderId="0" xfId="64" applyNumberFormat="1" applyFont="1" applyFill="1" applyBorder="1" applyAlignment="1">
      <alignment horizontal="center"/>
      <protection/>
    </xf>
    <xf numFmtId="3" fontId="28" fillId="22" borderId="0" xfId="64" applyNumberFormat="1" applyFont="1" applyFill="1" applyBorder="1" applyAlignment="1">
      <alignment horizontal="center"/>
      <protection/>
    </xf>
    <xf numFmtId="49" fontId="25" fillId="22" borderId="0" xfId="64" applyNumberFormat="1" applyFont="1" applyFill="1" applyBorder="1" applyAlignment="1">
      <alignment horizontal="center"/>
      <protection/>
    </xf>
    <xf numFmtId="3" fontId="25" fillId="22" borderId="0" xfId="64" applyNumberFormat="1" applyFont="1" applyFill="1" applyBorder="1" applyAlignment="1">
      <alignment horizontal="center"/>
      <protection/>
    </xf>
    <xf numFmtId="49" fontId="28" fillId="22" borderId="0" xfId="64" applyNumberFormat="1" applyFont="1" applyFill="1" applyAlignment="1">
      <alignment horizontal="center"/>
      <protection/>
    </xf>
    <xf numFmtId="3" fontId="28" fillId="22" borderId="0" xfId="64" applyNumberFormat="1" applyFont="1" applyFill="1" applyAlignment="1">
      <alignment horizontal="center"/>
      <protection/>
    </xf>
    <xf numFmtId="49" fontId="25" fillId="22" borderId="0" xfId="64" applyNumberFormat="1" applyFont="1" applyFill="1" applyAlignment="1">
      <alignment horizontal="center"/>
      <protection/>
    </xf>
    <xf numFmtId="3" fontId="25" fillId="22" borderId="0" xfId="64" applyNumberFormat="1" applyFont="1" applyFill="1" applyAlignment="1">
      <alignment horizontal="center"/>
      <protection/>
    </xf>
    <xf numFmtId="3" fontId="25" fillId="0" borderId="0" xfId="64" applyNumberFormat="1" applyFont="1" applyFill="1">
      <alignment/>
      <protection/>
    </xf>
    <xf numFmtId="3" fontId="23" fillId="0" borderId="12" xfId="0" applyNumberFormat="1" applyFont="1" applyBorder="1" applyAlignment="1">
      <alignment horizontal="center" vertical="top"/>
    </xf>
    <xf numFmtId="3" fontId="23" fillId="0" borderId="17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horizontal="center"/>
    </xf>
    <xf numFmtId="3" fontId="23" fillId="0" borderId="61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left"/>
    </xf>
    <xf numFmtId="3" fontId="23" fillId="0" borderId="52" xfId="0" applyNumberFormat="1" applyFont="1" applyBorder="1" applyAlignment="1">
      <alignment horizontal="center" vertical="top"/>
    </xf>
    <xf numFmtId="3" fontId="23" fillId="0" borderId="52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indent="1"/>
    </xf>
    <xf numFmtId="0" fontId="25" fillId="0" borderId="0" xfId="0" applyFont="1" applyFill="1" applyBorder="1" applyAlignment="1">
      <alignment horizontal="left" wrapText="1" indent="1"/>
    </xf>
    <xf numFmtId="3" fontId="28" fillId="0" borderId="59" xfId="64" applyNumberFormat="1" applyFont="1" applyBorder="1" applyAlignment="1">
      <alignment horizontal="center" vertical="center" wrapText="1"/>
      <protection/>
    </xf>
    <xf numFmtId="3" fontId="28" fillId="0" borderId="0" xfId="64" applyNumberFormat="1" applyFont="1" applyBorder="1" applyAlignment="1">
      <alignment horizontal="center" vertical="center" wrapText="1"/>
      <protection/>
    </xf>
    <xf numFmtId="3" fontId="28" fillId="0" borderId="13" xfId="64" applyNumberFormat="1" applyFont="1" applyBorder="1" applyAlignment="1">
      <alignment horizontal="center" vertical="center" wrapText="1"/>
      <protection/>
    </xf>
    <xf numFmtId="0" fontId="28" fillId="0" borderId="13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66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/>
    </xf>
    <xf numFmtId="3" fontId="22" fillId="0" borderId="67" xfId="64" applyNumberFormat="1" applyFont="1" applyBorder="1" applyAlignment="1">
      <alignment horizontal="center" vertical="center" textRotation="90" wrapText="1"/>
      <protection/>
    </xf>
    <xf numFmtId="3" fontId="22" fillId="0" borderId="57" xfId="64" applyNumberFormat="1" applyFont="1" applyBorder="1" applyAlignment="1">
      <alignment horizontal="center" vertical="center" textRotation="90" wrapText="1"/>
      <protection/>
    </xf>
    <xf numFmtId="3" fontId="30" fillId="0" borderId="57" xfId="64" applyNumberFormat="1" applyFont="1" applyBorder="1" applyAlignment="1">
      <alignment horizontal="center" vertical="center" wrapText="1"/>
      <protection/>
    </xf>
    <xf numFmtId="3" fontId="25" fillId="0" borderId="68" xfId="64" applyNumberFormat="1" applyFont="1" applyFill="1" applyBorder="1" applyAlignment="1">
      <alignment horizontal="center" vertical="center" wrapText="1"/>
      <protection/>
    </xf>
    <xf numFmtId="0" fontId="26" fillId="0" borderId="69" xfId="72" applyFont="1" applyFill="1" applyBorder="1" applyAlignment="1">
      <alignment horizontal="center" vertical="center" wrapText="1"/>
      <protection/>
    </xf>
    <xf numFmtId="3" fontId="24" fillId="0" borderId="70" xfId="0" applyNumberFormat="1" applyFont="1" applyBorder="1" applyAlignment="1">
      <alignment horizontal="center"/>
    </xf>
    <xf numFmtId="0" fontId="23" fillId="0" borderId="0" xfId="73" applyFont="1" applyBorder="1" applyAlignment="1">
      <alignment/>
      <protection/>
    </xf>
    <xf numFmtId="3" fontId="23" fillId="0" borderId="0" xfId="73" applyNumberFormat="1" applyFont="1" applyBorder="1">
      <alignment/>
      <protection/>
    </xf>
    <xf numFmtId="3" fontId="24" fillId="0" borderId="0" xfId="73" applyNumberFormat="1" applyFont="1" applyBorder="1" applyAlignment="1">
      <alignment/>
      <protection/>
    </xf>
    <xf numFmtId="3" fontId="23" fillId="0" borderId="0" xfId="73" applyNumberFormat="1" applyFont="1" applyBorder="1" applyAlignment="1">
      <alignment/>
      <protection/>
    </xf>
    <xf numFmtId="3" fontId="24" fillId="0" borderId="0" xfId="73" applyNumberFormat="1" applyFont="1" applyBorder="1">
      <alignment/>
      <protection/>
    </xf>
    <xf numFmtId="0" fontId="23" fillId="0" borderId="0" xfId="73" applyFont="1" applyBorder="1">
      <alignment/>
      <protection/>
    </xf>
    <xf numFmtId="0" fontId="23" fillId="0" borderId="0" xfId="73" applyFont="1" applyBorder="1" applyAlignment="1">
      <alignment horizontal="center"/>
      <protection/>
    </xf>
    <xf numFmtId="0" fontId="23" fillId="0" borderId="0" xfId="73" applyFont="1" applyFill="1" applyBorder="1" applyAlignment="1">
      <alignment horizontal="center" vertical="top"/>
      <protection/>
    </xf>
    <xf numFmtId="0" fontId="23" fillId="0" borderId="0" xfId="73" applyFont="1" applyBorder="1" applyAlignment="1">
      <alignment wrapText="1"/>
      <protection/>
    </xf>
    <xf numFmtId="3" fontId="23" fillId="0" borderId="0" xfId="73" applyNumberFormat="1" applyFont="1" applyBorder="1" applyAlignment="1">
      <alignment horizontal="right"/>
      <protection/>
    </xf>
    <xf numFmtId="0" fontId="23" fillId="0" borderId="0" xfId="73" applyFont="1" applyBorder="1" applyAlignment="1">
      <alignment horizontal="center" wrapText="1"/>
      <protection/>
    </xf>
    <xf numFmtId="3" fontId="23" fillId="0" borderId="0" xfId="73" applyNumberFormat="1" applyFont="1" applyBorder="1" applyAlignment="1">
      <alignment horizontal="center"/>
      <protection/>
    </xf>
    <xf numFmtId="3" fontId="24" fillId="0" borderId="0" xfId="73" applyNumberFormat="1" applyFont="1" applyBorder="1" applyAlignment="1">
      <alignment horizontal="center"/>
      <protection/>
    </xf>
    <xf numFmtId="3" fontId="23" fillId="0" borderId="71" xfId="67" applyNumberFormat="1" applyFont="1" applyFill="1" applyBorder="1" applyAlignment="1">
      <alignment/>
      <protection/>
    </xf>
    <xf numFmtId="3" fontId="23" fillId="0" borderId="72" xfId="64" applyNumberFormat="1" applyFont="1" applyFill="1" applyBorder="1" applyAlignment="1">
      <alignment horizontal="right"/>
      <protection/>
    </xf>
    <xf numFmtId="3" fontId="23" fillId="0" borderId="73" xfId="64" applyNumberFormat="1" applyFont="1" applyFill="1" applyBorder="1" applyAlignment="1">
      <alignment wrapText="1"/>
      <protection/>
    </xf>
    <xf numFmtId="3" fontId="23" fillId="0" borderId="74" xfId="64" applyNumberFormat="1" applyFont="1" applyFill="1" applyBorder="1" applyAlignment="1">
      <alignment horizontal="right"/>
      <protection/>
    </xf>
    <xf numFmtId="3" fontId="23" fillId="0" borderId="74" xfId="67" applyNumberFormat="1" applyFont="1" applyFill="1" applyBorder="1" applyAlignment="1">
      <alignment/>
      <protection/>
    </xf>
    <xf numFmtId="3" fontId="23" fillId="0" borderId="75" xfId="69" applyNumberFormat="1" applyFont="1" applyBorder="1">
      <alignment/>
      <protection/>
    </xf>
    <xf numFmtId="0" fontId="28" fillId="0" borderId="0" xfId="68" applyFont="1" applyFill="1" applyAlignment="1">
      <alignment horizontal="center"/>
      <protection/>
    </xf>
    <xf numFmtId="0" fontId="28" fillId="0" borderId="0" xfId="68" applyFont="1" applyFill="1" applyAlignment="1">
      <alignment wrapText="1"/>
      <protection/>
    </xf>
    <xf numFmtId="3" fontId="28" fillId="0" borderId="0" xfId="68" applyNumberFormat="1" applyFont="1" applyFill="1">
      <alignment/>
      <protection/>
    </xf>
    <xf numFmtId="0" fontId="28" fillId="0" borderId="0" xfId="68" applyFont="1" applyFill="1">
      <alignment/>
      <protection/>
    </xf>
    <xf numFmtId="0" fontId="28" fillId="0" borderId="0" xfId="68" applyFont="1" applyFill="1" applyAlignment="1">
      <alignment horizontal="center" vertical="center" wrapText="1"/>
      <protection/>
    </xf>
    <xf numFmtId="0" fontId="28" fillId="0" borderId="0" xfId="68" applyFont="1" applyFill="1" applyAlignment="1">
      <alignment vertical="center"/>
      <protection/>
    </xf>
    <xf numFmtId="0" fontId="25" fillId="0" borderId="0" xfId="68" applyFont="1" applyFill="1" applyAlignment="1">
      <alignment vertical="center"/>
      <protection/>
    </xf>
    <xf numFmtId="0" fontId="23" fillId="0" borderId="0" xfId="68" applyFont="1" applyFill="1" applyBorder="1" applyAlignment="1">
      <alignment horizontal="left"/>
      <protection/>
    </xf>
    <xf numFmtId="3" fontId="28" fillId="0" borderId="32" xfId="68" applyNumberFormat="1" applyFont="1" applyFill="1" applyBorder="1" applyAlignment="1">
      <alignment horizontal="center" vertical="center" wrapText="1"/>
      <protection/>
    </xf>
    <xf numFmtId="3" fontId="44" fillId="0" borderId="0" xfId="59" applyNumberFormat="1" applyFont="1">
      <alignment/>
      <protection/>
    </xf>
    <xf numFmtId="0" fontId="44" fillId="0" borderId="0" xfId="59" applyNumberFormat="1" applyFont="1">
      <alignment/>
      <protection/>
    </xf>
    <xf numFmtId="204" fontId="45" fillId="0" borderId="0" xfId="59" applyNumberFormat="1" applyFont="1" applyAlignment="1">
      <alignment horizontal="right"/>
      <protection/>
    </xf>
    <xf numFmtId="3" fontId="46" fillId="0" borderId="0" xfId="59" applyNumberFormat="1" applyFont="1">
      <alignment/>
      <protection/>
    </xf>
    <xf numFmtId="3" fontId="44" fillId="24" borderId="76" xfId="59" applyNumberFormat="1" applyFont="1" applyFill="1" applyBorder="1">
      <alignment/>
      <protection/>
    </xf>
    <xf numFmtId="3" fontId="47" fillId="24" borderId="77" xfId="59" applyNumberFormat="1" applyFont="1" applyFill="1" applyBorder="1" applyAlignment="1">
      <alignment horizontal="center"/>
      <protection/>
    </xf>
    <xf numFmtId="3" fontId="44" fillId="24" borderId="32" xfId="59" applyNumberFormat="1" applyFont="1" applyFill="1" applyBorder="1">
      <alignment/>
      <protection/>
    </xf>
    <xf numFmtId="3" fontId="47" fillId="24" borderId="78" xfId="59" applyNumberFormat="1" applyFont="1" applyFill="1" applyBorder="1">
      <alignment/>
      <protection/>
    </xf>
    <xf numFmtId="3" fontId="44" fillId="0" borderId="79" xfId="59" applyNumberFormat="1" applyFont="1" applyBorder="1">
      <alignment/>
      <protection/>
    </xf>
    <xf numFmtId="3" fontId="44" fillId="0" borderId="32" xfId="59" applyNumberFormat="1" applyFont="1" applyBorder="1">
      <alignment/>
      <protection/>
    </xf>
    <xf numFmtId="0" fontId="44" fillId="0" borderId="32" xfId="59" applyNumberFormat="1" applyFont="1" applyBorder="1">
      <alignment/>
      <protection/>
    </xf>
    <xf numFmtId="3" fontId="44" fillId="0" borderId="78" xfId="59" applyNumberFormat="1" applyFont="1" applyBorder="1">
      <alignment/>
      <protection/>
    </xf>
    <xf numFmtId="3" fontId="47" fillId="24" borderId="32" xfId="59" applyNumberFormat="1" applyFont="1" applyFill="1" applyBorder="1">
      <alignment/>
      <protection/>
    </xf>
    <xf numFmtId="0" fontId="44" fillId="24" borderId="32" xfId="59" applyNumberFormat="1" applyFont="1" applyFill="1" applyBorder="1">
      <alignment/>
      <protection/>
    </xf>
    <xf numFmtId="3" fontId="48" fillId="0" borderId="32" xfId="59" applyNumberFormat="1" applyFont="1" applyBorder="1">
      <alignment/>
      <protection/>
    </xf>
    <xf numFmtId="3" fontId="49" fillId="0" borderId="32" xfId="59" applyNumberFormat="1" applyFont="1" applyBorder="1">
      <alignment/>
      <protection/>
    </xf>
    <xf numFmtId="0" fontId="49" fillId="0" borderId="32" xfId="59" applyNumberFormat="1" applyFont="1" applyBorder="1">
      <alignment/>
      <protection/>
    </xf>
    <xf numFmtId="3" fontId="50" fillId="0" borderId="78" xfId="59" applyNumberFormat="1" applyFont="1" applyBorder="1">
      <alignment/>
      <protection/>
    </xf>
    <xf numFmtId="3" fontId="51" fillId="0" borderId="32" xfId="59" applyNumberFormat="1" applyFont="1" applyBorder="1">
      <alignment/>
      <protection/>
    </xf>
    <xf numFmtId="3" fontId="52" fillId="0" borderId="32" xfId="59" applyNumberFormat="1" applyFont="1" applyBorder="1">
      <alignment/>
      <protection/>
    </xf>
    <xf numFmtId="3" fontId="53" fillId="0" borderId="32" xfId="59" applyNumberFormat="1" applyFont="1" applyBorder="1">
      <alignment/>
      <protection/>
    </xf>
    <xf numFmtId="3" fontId="47" fillId="0" borderId="78" xfId="59" applyNumberFormat="1" applyFont="1" applyBorder="1">
      <alignment/>
      <protection/>
    </xf>
    <xf numFmtId="3" fontId="44" fillId="0" borderId="32" xfId="59" applyNumberFormat="1" applyFont="1" applyFill="1" applyBorder="1" applyAlignment="1">
      <alignment horizontal="left" indent="1"/>
      <protection/>
    </xf>
    <xf numFmtId="3" fontId="44" fillId="25" borderId="32" xfId="59" applyNumberFormat="1" applyFont="1" applyFill="1" applyBorder="1">
      <alignment/>
      <protection/>
    </xf>
    <xf numFmtId="3" fontId="47" fillId="25" borderId="32" xfId="59" applyNumberFormat="1" applyFont="1" applyFill="1" applyBorder="1">
      <alignment/>
      <protection/>
    </xf>
    <xf numFmtId="0" fontId="47" fillId="25" borderId="32" xfId="59" applyNumberFormat="1" applyFont="1" applyFill="1" applyBorder="1">
      <alignment/>
      <protection/>
    </xf>
    <xf numFmtId="3" fontId="49" fillId="25" borderId="32" xfId="59" applyNumberFormat="1" applyFont="1" applyFill="1" applyBorder="1">
      <alignment/>
      <protection/>
    </xf>
    <xf numFmtId="3" fontId="44" fillId="26" borderId="32" xfId="59" applyNumberFormat="1" applyFont="1" applyFill="1" applyBorder="1">
      <alignment/>
      <protection/>
    </xf>
    <xf numFmtId="0" fontId="44" fillId="26" borderId="32" xfId="59" applyNumberFormat="1" applyFont="1" applyFill="1" applyBorder="1">
      <alignment/>
      <protection/>
    </xf>
    <xf numFmtId="3" fontId="44" fillId="0" borderId="79" xfId="59" applyNumberFormat="1" applyFont="1" applyFill="1" applyBorder="1">
      <alignment/>
      <protection/>
    </xf>
    <xf numFmtId="3" fontId="51" fillId="0" borderId="32" xfId="59" applyNumberFormat="1" applyFont="1" applyFill="1" applyBorder="1">
      <alignment/>
      <protection/>
    </xf>
    <xf numFmtId="3" fontId="52" fillId="0" borderId="32" xfId="59" applyNumberFormat="1" applyFont="1" applyFill="1" applyBorder="1">
      <alignment/>
      <protection/>
    </xf>
    <xf numFmtId="3" fontId="44" fillId="0" borderId="32" xfId="59" applyNumberFormat="1" applyFont="1" applyBorder="1" applyAlignment="1">
      <alignment horizontal="left" indent="1"/>
      <protection/>
    </xf>
    <xf numFmtId="10" fontId="44" fillId="0" borderId="32" xfId="59" applyNumberFormat="1" applyFont="1" applyBorder="1">
      <alignment/>
      <protection/>
    </xf>
    <xf numFmtId="3" fontId="44" fillId="0" borderId="32" xfId="59" applyNumberFormat="1" applyFont="1" applyFill="1" applyBorder="1">
      <alignment/>
      <protection/>
    </xf>
    <xf numFmtId="3" fontId="44" fillId="0" borderId="78" xfId="59" applyNumberFormat="1" applyFont="1" applyFill="1" applyBorder="1">
      <alignment/>
      <protection/>
    </xf>
    <xf numFmtId="3" fontId="44" fillId="0" borderId="0" xfId="59" applyNumberFormat="1" applyFont="1" applyFill="1">
      <alignment/>
      <protection/>
    </xf>
    <xf numFmtId="10" fontId="44" fillId="0" borderId="32" xfId="59" applyNumberFormat="1" applyFont="1" applyFill="1" applyBorder="1">
      <alignment/>
      <protection/>
    </xf>
    <xf numFmtId="3" fontId="52" fillId="0" borderId="79" xfId="59" applyNumberFormat="1" applyFont="1" applyFill="1" applyBorder="1">
      <alignment/>
      <protection/>
    </xf>
    <xf numFmtId="3" fontId="52" fillId="0" borderId="32" xfId="59" applyNumberFormat="1" applyFont="1" applyFill="1" applyBorder="1" applyAlignment="1">
      <alignment horizontal="left" indent="1"/>
      <protection/>
    </xf>
    <xf numFmtId="10" fontId="52" fillId="0" borderId="32" xfId="59" applyNumberFormat="1" applyFont="1" applyFill="1" applyBorder="1">
      <alignment/>
      <protection/>
    </xf>
    <xf numFmtId="3" fontId="52" fillId="0" borderId="78" xfId="59" applyNumberFormat="1" applyFont="1" applyFill="1" applyBorder="1">
      <alignment/>
      <protection/>
    </xf>
    <xf numFmtId="3" fontId="52" fillId="0" borderId="0" xfId="59" applyNumberFormat="1" applyFont="1" applyFill="1">
      <alignment/>
      <protection/>
    </xf>
    <xf numFmtId="3" fontId="44" fillId="27" borderId="32" xfId="59" applyNumberFormat="1" applyFont="1" applyFill="1" applyBorder="1">
      <alignment/>
      <protection/>
    </xf>
    <xf numFmtId="0" fontId="44" fillId="28" borderId="32" xfId="59" applyNumberFormat="1" applyFont="1" applyFill="1" applyBorder="1">
      <alignment/>
      <protection/>
    </xf>
    <xf numFmtId="3" fontId="44" fillId="28" borderId="32" xfId="59" applyNumberFormat="1" applyFont="1" applyFill="1" applyBorder="1">
      <alignment/>
      <protection/>
    </xf>
    <xf numFmtId="3" fontId="44" fillId="0" borderId="32" xfId="59" applyNumberFormat="1" applyFont="1" applyFill="1" applyBorder="1" applyAlignment="1">
      <alignment horizontal="center"/>
      <protection/>
    </xf>
    <xf numFmtId="0" fontId="44" fillId="0" borderId="32" xfId="59" applyNumberFormat="1" applyFont="1" applyFill="1" applyBorder="1">
      <alignment/>
      <protection/>
    </xf>
    <xf numFmtId="3" fontId="54" fillId="0" borderId="32" xfId="59" applyNumberFormat="1" applyFont="1" applyBorder="1">
      <alignment/>
      <protection/>
    </xf>
    <xf numFmtId="0" fontId="55" fillId="0" borderId="32" xfId="59" applyNumberFormat="1" applyFont="1" applyBorder="1">
      <alignment/>
      <protection/>
    </xf>
    <xf numFmtId="3" fontId="55" fillId="0" borderId="32" xfId="59" applyNumberFormat="1" applyFont="1" applyBorder="1">
      <alignment/>
      <protection/>
    </xf>
    <xf numFmtId="3" fontId="47" fillId="0" borderId="32" xfId="59" applyNumberFormat="1" applyFont="1" applyBorder="1">
      <alignment/>
      <protection/>
    </xf>
    <xf numFmtId="3" fontId="56" fillId="0" borderId="32" xfId="59" applyNumberFormat="1" applyFont="1" applyBorder="1">
      <alignment/>
      <protection/>
    </xf>
    <xf numFmtId="0" fontId="56" fillId="0" borderId="32" xfId="59" applyNumberFormat="1" applyFont="1" applyBorder="1">
      <alignment/>
      <protection/>
    </xf>
    <xf numFmtId="3" fontId="50" fillId="0" borderId="32" xfId="59" applyNumberFormat="1" applyFont="1" applyBorder="1">
      <alignment/>
      <protection/>
    </xf>
    <xf numFmtId="3" fontId="44" fillId="29" borderId="32" xfId="59" applyNumberFormat="1" applyFont="1" applyFill="1" applyBorder="1">
      <alignment/>
      <protection/>
    </xf>
    <xf numFmtId="3" fontId="44" fillId="30" borderId="32" xfId="59" applyNumberFormat="1" applyFont="1" applyFill="1" applyBorder="1" applyAlignment="1">
      <alignment horizontal="left" indent="1"/>
      <protection/>
    </xf>
    <xf numFmtId="10" fontId="44" fillId="30" borderId="32" xfId="59" applyNumberFormat="1" applyFont="1" applyFill="1" applyBorder="1">
      <alignment/>
      <protection/>
    </xf>
    <xf numFmtId="3" fontId="57" fillId="30" borderId="32" xfId="59" applyNumberFormat="1" applyFont="1" applyFill="1" applyBorder="1">
      <alignment/>
      <protection/>
    </xf>
    <xf numFmtId="3" fontId="44" fillId="30" borderId="32" xfId="59" applyNumberFormat="1" applyFont="1" applyFill="1" applyBorder="1">
      <alignment/>
      <protection/>
    </xf>
    <xf numFmtId="3" fontId="47" fillId="0" borderId="32" xfId="59" applyNumberFormat="1" applyFont="1" applyBorder="1" applyAlignment="1">
      <alignment horizontal="left" indent="1"/>
      <protection/>
    </xf>
    <xf numFmtId="10" fontId="47" fillId="0" borderId="32" xfId="59" applyNumberFormat="1" applyFont="1" applyBorder="1">
      <alignment/>
      <protection/>
    </xf>
    <xf numFmtId="3" fontId="46" fillId="0" borderId="32" xfId="59" applyNumberFormat="1" applyFont="1" applyBorder="1">
      <alignment/>
      <protection/>
    </xf>
    <xf numFmtId="3" fontId="44" fillId="25" borderId="32" xfId="59" applyNumberFormat="1" applyFont="1" applyFill="1" applyBorder="1" applyAlignment="1">
      <alignment horizontal="left" indent="1"/>
      <protection/>
    </xf>
    <xf numFmtId="10" fontId="44" fillId="25" borderId="32" xfId="59" applyNumberFormat="1" applyFont="1" applyFill="1" applyBorder="1">
      <alignment/>
      <protection/>
    </xf>
    <xf numFmtId="3" fontId="47" fillId="0" borderId="32" xfId="59" applyNumberFormat="1" applyFont="1" applyFill="1" applyBorder="1">
      <alignment/>
      <protection/>
    </xf>
    <xf numFmtId="9" fontId="44" fillId="0" borderId="32" xfId="59" applyNumberFormat="1" applyFont="1" applyFill="1" applyBorder="1">
      <alignment/>
      <protection/>
    </xf>
    <xf numFmtId="0" fontId="47" fillId="0" borderId="32" xfId="59" applyNumberFormat="1" applyFont="1" applyFill="1" applyBorder="1">
      <alignment/>
      <protection/>
    </xf>
    <xf numFmtId="3" fontId="47" fillId="0" borderId="78" xfId="59" applyNumberFormat="1" applyFont="1" applyFill="1" applyBorder="1">
      <alignment/>
      <protection/>
    </xf>
    <xf numFmtId="3" fontId="53" fillId="0" borderId="0" xfId="59" applyNumberFormat="1" applyFont="1" applyFill="1">
      <alignment/>
      <protection/>
    </xf>
    <xf numFmtId="3" fontId="44" fillId="31" borderId="32" xfId="59" applyNumberFormat="1" applyFont="1" applyFill="1" applyBorder="1">
      <alignment/>
      <protection/>
    </xf>
    <xf numFmtId="3" fontId="44" fillId="31" borderId="32" xfId="59" applyNumberFormat="1" applyFont="1" applyFill="1" applyBorder="1" applyAlignment="1">
      <alignment horizontal="left" indent="1"/>
      <protection/>
    </xf>
    <xf numFmtId="10" fontId="44" fillId="31" borderId="32" xfId="59" applyNumberFormat="1" applyFont="1" applyFill="1" applyBorder="1">
      <alignment/>
      <protection/>
    </xf>
    <xf numFmtId="3" fontId="44" fillId="31" borderId="78" xfId="59" applyNumberFormat="1" applyFont="1" applyFill="1" applyBorder="1">
      <alignment/>
      <protection/>
    </xf>
    <xf numFmtId="9" fontId="44" fillId="25" borderId="32" xfId="59" applyNumberFormat="1" applyFont="1" applyFill="1" applyBorder="1">
      <alignment/>
      <protection/>
    </xf>
    <xf numFmtId="3" fontId="44" fillId="25" borderId="78" xfId="59" applyNumberFormat="1" applyFont="1" applyFill="1" applyBorder="1">
      <alignment/>
      <protection/>
    </xf>
    <xf numFmtId="3" fontId="53" fillId="0" borderId="78" xfId="59" applyNumberFormat="1" applyFont="1" applyFill="1" applyBorder="1">
      <alignment/>
      <protection/>
    </xf>
    <xf numFmtId="3" fontId="53" fillId="0" borderId="79" xfId="59" applyNumberFormat="1" applyFont="1" applyFill="1" applyBorder="1">
      <alignment/>
      <protection/>
    </xf>
    <xf numFmtId="3" fontId="57" fillId="0" borderId="78" xfId="59" applyNumberFormat="1" applyFont="1" applyFill="1" applyBorder="1">
      <alignment/>
      <protection/>
    </xf>
    <xf numFmtId="3" fontId="53" fillId="0" borderId="0" xfId="59" applyNumberFormat="1" applyFont="1" applyFill="1" applyBorder="1">
      <alignment/>
      <protection/>
    </xf>
    <xf numFmtId="3" fontId="47" fillId="32" borderId="79" xfId="59" applyNumberFormat="1" applyFont="1" applyFill="1" applyBorder="1" applyAlignment="1">
      <alignment horizontal="left"/>
      <protection/>
    </xf>
    <xf numFmtId="3" fontId="47" fillId="32" borderId="32" xfId="59" applyNumberFormat="1" applyFont="1" applyFill="1" applyBorder="1" applyAlignment="1">
      <alignment horizontal="left"/>
      <protection/>
    </xf>
    <xf numFmtId="3" fontId="47" fillId="32" borderId="32" xfId="59" applyNumberFormat="1" applyFont="1" applyFill="1" applyBorder="1" applyAlignment="1">
      <alignment horizontal="center"/>
      <protection/>
    </xf>
    <xf numFmtId="3" fontId="47" fillId="32" borderId="78" xfId="59" applyNumberFormat="1" applyFont="1" applyFill="1" applyBorder="1" applyAlignment="1">
      <alignment horizontal="center"/>
      <protection/>
    </xf>
    <xf numFmtId="3" fontId="47" fillId="0" borderId="0" xfId="59" applyNumberFormat="1" applyFont="1">
      <alignment/>
      <protection/>
    </xf>
    <xf numFmtId="3" fontId="47" fillId="32" borderId="78" xfId="59" applyNumberFormat="1" applyFont="1" applyFill="1" applyBorder="1">
      <alignment/>
      <protection/>
    </xf>
    <xf numFmtId="3" fontId="47" fillId="0" borderId="0" xfId="59" applyNumberFormat="1" applyFont="1" applyFill="1">
      <alignment/>
      <protection/>
    </xf>
    <xf numFmtId="3" fontId="44" fillId="0" borderId="32" xfId="59" applyNumberFormat="1" applyFont="1" applyBorder="1" applyAlignment="1">
      <alignment horizontal="center"/>
      <protection/>
    </xf>
    <xf numFmtId="3" fontId="44" fillId="0" borderId="78" xfId="59" applyNumberFormat="1" applyFont="1" applyBorder="1" applyAlignment="1">
      <alignment horizontal="center"/>
      <protection/>
    </xf>
    <xf numFmtId="3" fontId="47" fillId="0" borderId="79" xfId="59" applyNumberFormat="1" applyFont="1" applyBorder="1">
      <alignment/>
      <protection/>
    </xf>
    <xf numFmtId="3" fontId="47" fillId="23" borderId="32" xfId="59" applyNumberFormat="1" applyFont="1" applyFill="1" applyBorder="1">
      <alignment/>
      <protection/>
    </xf>
    <xf numFmtId="0" fontId="47" fillId="23" borderId="32" xfId="59" applyNumberFormat="1" applyFont="1" applyFill="1" applyBorder="1">
      <alignment/>
      <protection/>
    </xf>
    <xf numFmtId="3" fontId="47" fillId="23" borderId="78" xfId="59" applyNumberFormat="1" applyFont="1" applyFill="1" applyBorder="1">
      <alignment/>
      <protection/>
    </xf>
    <xf numFmtId="0" fontId="47" fillId="0" borderId="32" xfId="59" applyNumberFormat="1" applyFont="1" applyBorder="1">
      <alignment/>
      <protection/>
    </xf>
    <xf numFmtId="3" fontId="52" fillId="0" borderId="78" xfId="59" applyNumberFormat="1" applyFont="1" applyBorder="1">
      <alignment/>
      <protection/>
    </xf>
    <xf numFmtId="3" fontId="52" fillId="0" borderId="32" xfId="59" applyNumberFormat="1" applyFont="1" applyFill="1" applyBorder="1" applyAlignment="1">
      <alignment horizontal="center" wrapText="1"/>
      <protection/>
    </xf>
    <xf numFmtId="3" fontId="52" fillId="0" borderId="32" xfId="59" applyNumberFormat="1" applyFont="1" applyFill="1" applyBorder="1" applyAlignment="1">
      <alignment wrapText="1"/>
      <protection/>
    </xf>
    <xf numFmtId="3" fontId="53" fillId="0" borderId="32" xfId="59" applyNumberFormat="1" applyFont="1" applyFill="1" applyBorder="1" applyAlignment="1">
      <alignment wrapText="1"/>
      <protection/>
    </xf>
    <xf numFmtId="3" fontId="57" fillId="0" borderId="79" xfId="59" applyNumberFormat="1" applyFont="1" applyBorder="1">
      <alignment/>
      <protection/>
    </xf>
    <xf numFmtId="3" fontId="44" fillId="0" borderId="0" xfId="59" applyNumberFormat="1" applyFont="1" applyBorder="1">
      <alignment/>
      <protection/>
    </xf>
    <xf numFmtId="0" fontId="44" fillId="25" borderId="32" xfId="59" applyNumberFormat="1" applyFont="1" applyFill="1" applyBorder="1">
      <alignment/>
      <protection/>
    </xf>
    <xf numFmtId="3" fontId="44" fillId="0" borderId="32" xfId="59" applyNumberFormat="1" applyFont="1" applyBorder="1" applyAlignment="1">
      <alignment vertical="center" wrapText="1"/>
      <protection/>
    </xf>
    <xf numFmtId="3" fontId="44" fillId="0" borderId="78" xfId="59" applyNumberFormat="1" applyFont="1" applyFill="1" applyBorder="1" applyAlignment="1">
      <alignment vertical="center"/>
      <protection/>
    </xf>
    <xf numFmtId="3" fontId="44" fillId="0" borderId="78" xfId="59" applyNumberFormat="1" applyFont="1" applyFill="1" applyBorder="1" applyAlignment="1">
      <alignment horizontal="center" vertical="center"/>
      <protection/>
    </xf>
    <xf numFmtId="3" fontId="47" fillId="4" borderId="32" xfId="59" applyNumberFormat="1" applyFont="1" applyFill="1" applyBorder="1">
      <alignment/>
      <protection/>
    </xf>
    <xf numFmtId="0" fontId="47" fillId="4" borderId="32" xfId="59" applyNumberFormat="1" applyFont="1" applyFill="1" applyBorder="1">
      <alignment/>
      <protection/>
    </xf>
    <xf numFmtId="3" fontId="44" fillId="0" borderId="80" xfId="59" applyNumberFormat="1" applyFont="1" applyBorder="1">
      <alignment/>
      <protection/>
    </xf>
    <xf numFmtId="3" fontId="44" fillId="0" borderId="81" xfId="59" applyNumberFormat="1" applyFont="1" applyBorder="1">
      <alignment/>
      <protection/>
    </xf>
    <xf numFmtId="0" fontId="44" fillId="0" borderId="81" xfId="59" applyNumberFormat="1" applyFont="1" applyBorder="1">
      <alignment/>
      <protection/>
    </xf>
    <xf numFmtId="3" fontId="44" fillId="0" borderId="0" xfId="59" applyNumberFormat="1" applyFont="1" applyAlignment="1">
      <alignment/>
      <protection/>
    </xf>
    <xf numFmtId="0" fontId="24" fillId="0" borderId="15" xfId="0" applyFont="1" applyFill="1" applyBorder="1" applyAlignment="1">
      <alignment horizontal="left" vertical="center" wrapText="1"/>
    </xf>
    <xf numFmtId="3" fontId="49" fillId="0" borderId="32" xfId="61" applyNumberFormat="1" applyFont="1" applyBorder="1" applyAlignment="1">
      <alignment vertical="center"/>
      <protection/>
    </xf>
    <xf numFmtId="0" fontId="49" fillId="0" borderId="32" xfId="61" applyFont="1" applyBorder="1">
      <alignment/>
      <protection/>
    </xf>
    <xf numFmtId="3" fontId="44" fillId="0" borderId="79" xfId="61" applyNumberFormat="1" applyFont="1" applyBorder="1" applyAlignment="1">
      <alignment horizontal="left"/>
      <protection/>
    </xf>
    <xf numFmtId="3" fontId="44" fillId="0" borderId="79" xfId="61" applyNumberFormat="1" applyFont="1" applyBorder="1">
      <alignment/>
      <protection/>
    </xf>
    <xf numFmtId="3" fontId="44" fillId="0" borderId="0" xfId="61" applyNumberFormat="1" applyFont="1" applyBorder="1">
      <alignment/>
      <protection/>
    </xf>
    <xf numFmtId="3" fontId="44" fillId="0" borderId="0" xfId="61" applyNumberFormat="1" applyFont="1">
      <alignment/>
      <protection/>
    </xf>
    <xf numFmtId="0" fontId="28" fillId="0" borderId="32" xfId="68" applyNumberFormat="1" applyFont="1" applyFill="1" applyBorder="1" applyAlignment="1">
      <alignment horizontal="center" vertical="center" wrapText="1"/>
      <protection/>
    </xf>
    <xf numFmtId="3" fontId="28" fillId="0" borderId="32" xfId="68" applyNumberFormat="1" applyFont="1" applyFill="1" applyBorder="1" applyAlignment="1">
      <alignment vertical="center" wrapText="1"/>
      <protection/>
    </xf>
    <xf numFmtId="0" fontId="28" fillId="0" borderId="79" xfId="68" applyFont="1" applyFill="1" applyBorder="1" applyAlignment="1">
      <alignment horizontal="center" vertical="top"/>
      <protection/>
    </xf>
    <xf numFmtId="3" fontId="28" fillId="0" borderId="32" xfId="68" applyNumberFormat="1" applyFont="1" applyFill="1" applyBorder="1" applyAlignment="1">
      <alignment horizontal="right" vertical="center"/>
      <protection/>
    </xf>
    <xf numFmtId="3" fontId="28" fillId="0" borderId="78" xfId="68" applyNumberFormat="1" applyFont="1" applyFill="1" applyBorder="1">
      <alignment/>
      <protection/>
    </xf>
    <xf numFmtId="0" fontId="34" fillId="0" borderId="32" xfId="58" applyFont="1" applyFill="1" applyBorder="1" applyAlignment="1">
      <alignment wrapText="1"/>
      <protection/>
    </xf>
    <xf numFmtId="0" fontId="28" fillId="0" borderId="32" xfId="68" applyFont="1" applyFill="1" applyBorder="1" applyAlignment="1">
      <alignment horizontal="center" vertical="center"/>
      <protection/>
    </xf>
    <xf numFmtId="3" fontId="28" fillId="0" borderId="32" xfId="68" applyNumberFormat="1" applyFont="1" applyFill="1" applyBorder="1" applyAlignment="1">
      <alignment vertical="center"/>
      <protection/>
    </xf>
    <xf numFmtId="3" fontId="28" fillId="0" borderId="78" xfId="68" applyNumberFormat="1" applyFont="1" applyFill="1" applyBorder="1" applyAlignment="1">
      <alignment vertical="center"/>
      <protection/>
    </xf>
    <xf numFmtId="3" fontId="25" fillId="0" borderId="81" xfId="68" applyNumberFormat="1" applyFont="1" applyFill="1" applyBorder="1" applyAlignment="1">
      <alignment vertical="center"/>
      <protection/>
    </xf>
    <xf numFmtId="3" fontId="24" fillId="0" borderId="32" xfId="73" applyNumberFormat="1" applyFont="1" applyFill="1" applyBorder="1" applyAlignment="1">
      <alignment horizontal="center" vertical="center" wrapText="1"/>
      <protection/>
    </xf>
    <xf numFmtId="3" fontId="23" fillId="0" borderId="79" xfId="64" applyNumberFormat="1" applyFont="1" applyFill="1" applyBorder="1" applyAlignment="1">
      <alignment wrapText="1"/>
      <protection/>
    </xf>
    <xf numFmtId="3" fontId="23" fillId="0" borderId="32" xfId="64" applyNumberFormat="1" applyFont="1" applyFill="1" applyBorder="1" applyAlignment="1">
      <alignment horizontal="right"/>
      <protection/>
    </xf>
    <xf numFmtId="3" fontId="23" fillId="0" borderId="32" xfId="67" applyNumberFormat="1" applyFont="1" applyFill="1" applyBorder="1" applyAlignment="1">
      <alignment/>
      <protection/>
    </xf>
    <xf numFmtId="3" fontId="23" fillId="0" borderId="78" xfId="67" applyNumberFormat="1" applyFont="1" applyFill="1" applyBorder="1" applyAlignment="1">
      <alignment/>
      <protection/>
    </xf>
    <xf numFmtId="3" fontId="23" fillId="0" borderId="78" xfId="69" applyNumberFormat="1" applyFont="1" applyBorder="1">
      <alignment/>
      <protection/>
    </xf>
    <xf numFmtId="3" fontId="24" fillId="0" borderId="80" xfId="64" applyNumberFormat="1" applyFont="1" applyFill="1" applyBorder="1" applyAlignment="1">
      <alignment wrapText="1"/>
      <protection/>
    </xf>
    <xf numFmtId="3" fontId="24" fillId="0" borderId="81" xfId="64" applyNumberFormat="1" applyFont="1" applyFill="1" applyBorder="1" applyAlignment="1">
      <alignment horizontal="right"/>
      <protection/>
    </xf>
    <xf numFmtId="3" fontId="24" fillId="0" borderId="82" xfId="64" applyNumberFormat="1" applyFont="1" applyFill="1" applyBorder="1" applyAlignment="1">
      <alignment horizontal="right"/>
      <protection/>
    </xf>
    <xf numFmtId="3" fontId="22" fillId="0" borderId="32" xfId="64" applyNumberFormat="1" applyFont="1" applyFill="1" applyBorder="1" applyAlignment="1">
      <alignment horizontal="center" vertical="center" textRotation="90"/>
      <protection/>
    </xf>
    <xf numFmtId="3" fontId="22" fillId="0" borderId="32" xfId="64" applyNumberFormat="1" applyFont="1" applyBorder="1" applyAlignment="1">
      <alignment horizontal="center" vertical="center" wrapText="1"/>
      <protection/>
    </xf>
    <xf numFmtId="3" fontId="23" fillId="0" borderId="32" xfId="0" applyNumberFormat="1" applyFont="1" applyFill="1" applyBorder="1" applyAlignment="1">
      <alignment horizontal="center" vertical="center" wrapText="1"/>
    </xf>
    <xf numFmtId="3" fontId="23" fillId="0" borderId="78" xfId="0" applyNumberFormat="1" applyFont="1" applyFill="1" applyBorder="1" applyAlignment="1">
      <alignment horizontal="center" vertical="center" wrapText="1"/>
    </xf>
    <xf numFmtId="3" fontId="23" fillId="0" borderId="79" xfId="64" applyNumberFormat="1" applyFont="1" applyBorder="1">
      <alignment/>
      <protection/>
    </xf>
    <xf numFmtId="3" fontId="23" fillId="0" borderId="32" xfId="64" applyNumberFormat="1" applyFont="1" applyFill="1" applyBorder="1" applyAlignment="1">
      <alignment horizontal="center"/>
      <protection/>
    </xf>
    <xf numFmtId="3" fontId="23" fillId="0" borderId="32" xfId="64" applyNumberFormat="1" applyFont="1" applyBorder="1">
      <alignment/>
      <protection/>
    </xf>
    <xf numFmtId="3" fontId="22" fillId="0" borderId="32" xfId="64" applyNumberFormat="1" applyFont="1" applyBorder="1" applyAlignment="1">
      <alignment horizontal="right"/>
      <protection/>
    </xf>
    <xf numFmtId="3" fontId="22" fillId="0" borderId="32" xfId="64" applyNumberFormat="1" applyFont="1" applyFill="1" applyBorder="1" applyAlignment="1">
      <alignment horizontal="right"/>
      <protection/>
    </xf>
    <xf numFmtId="3" fontId="24" fillId="0" borderId="32" xfId="64" applyNumberFormat="1" applyFont="1" applyFill="1" applyBorder="1" applyAlignment="1">
      <alignment horizontal="right"/>
      <protection/>
    </xf>
    <xf numFmtId="3" fontId="24" fillId="0" borderId="78" xfId="64" applyNumberFormat="1" applyFont="1" applyFill="1" applyBorder="1" applyAlignment="1">
      <alignment horizontal="right"/>
      <protection/>
    </xf>
    <xf numFmtId="3" fontId="23" fillId="0" borderId="79" xfId="0" applyNumberFormat="1" applyFont="1" applyBorder="1" applyAlignment="1">
      <alignment horizontal="left" vertical="center" wrapText="1"/>
    </xf>
    <xf numFmtId="3" fontId="23" fillId="0" borderId="32" xfId="0" applyNumberFormat="1" applyFont="1" applyBorder="1" applyAlignment="1">
      <alignment horizontal="left" vertical="center" wrapText="1"/>
    </xf>
    <xf numFmtId="3" fontId="23" fillId="0" borderId="32" xfId="0" applyNumberFormat="1" applyFont="1" applyBorder="1" applyAlignment="1">
      <alignment/>
    </xf>
    <xf numFmtId="3" fontId="23" fillId="0" borderId="32" xfId="0" applyNumberFormat="1" applyFont="1" applyBorder="1" applyAlignment="1">
      <alignment horizontal="center" vertical="center" wrapText="1"/>
    </xf>
    <xf numFmtId="3" fontId="22" fillId="0" borderId="32" xfId="0" applyNumberFormat="1" applyFont="1" applyBorder="1" applyAlignment="1">
      <alignment vertical="center"/>
    </xf>
    <xf numFmtId="3" fontId="24" fillId="0" borderId="32" xfId="0" applyNumberFormat="1" applyFont="1" applyBorder="1" applyAlignment="1">
      <alignment vertical="center"/>
    </xf>
    <xf numFmtId="3" fontId="23" fillId="0" borderId="32" xfId="0" applyNumberFormat="1" applyFont="1" applyBorder="1" applyAlignment="1">
      <alignment vertical="center"/>
    </xf>
    <xf numFmtId="3" fontId="23" fillId="0" borderId="78" xfId="0" applyNumberFormat="1" applyFont="1" applyBorder="1" applyAlignment="1">
      <alignment vertical="center"/>
    </xf>
    <xf numFmtId="0" fontId="23" fillId="0" borderId="32" xfId="64" applyFont="1" applyBorder="1">
      <alignment/>
      <protection/>
    </xf>
    <xf numFmtId="3" fontId="23" fillId="0" borderId="79" xfId="0" applyNumberFormat="1" applyFont="1" applyFill="1" applyBorder="1" applyAlignment="1">
      <alignment horizontal="left" vertical="top" wrapText="1"/>
    </xf>
    <xf numFmtId="3" fontId="23" fillId="0" borderId="32" xfId="0" applyNumberFormat="1" applyFont="1" applyFill="1" applyBorder="1" applyAlignment="1">
      <alignment horizontal="left" vertical="top" wrapText="1"/>
    </xf>
    <xf numFmtId="0" fontId="23" fillId="0" borderId="32" xfId="64" applyFont="1" applyBorder="1" applyAlignment="1">
      <alignment horizontal="center"/>
      <protection/>
    </xf>
    <xf numFmtId="3" fontId="23" fillId="0" borderId="32" xfId="0" applyNumberFormat="1" applyFont="1" applyFill="1" applyBorder="1" applyAlignment="1">
      <alignment horizontal="center" vertical="top" wrapText="1"/>
    </xf>
    <xf numFmtId="3" fontId="22" fillId="0" borderId="32" xfId="0" applyNumberFormat="1" applyFont="1" applyFill="1" applyBorder="1" applyAlignment="1">
      <alignment vertical="top"/>
    </xf>
    <xf numFmtId="3" fontId="24" fillId="0" borderId="32" xfId="0" applyNumberFormat="1" applyFont="1" applyFill="1" applyBorder="1" applyAlignment="1">
      <alignment vertical="top"/>
    </xf>
    <xf numFmtId="3" fontId="23" fillId="0" borderId="32" xfId="0" applyNumberFormat="1" applyFont="1" applyFill="1" applyBorder="1" applyAlignment="1">
      <alignment vertical="top"/>
    </xf>
    <xf numFmtId="3" fontId="23" fillId="0" borderId="78" xfId="0" applyNumberFormat="1" applyFont="1" applyFill="1" applyBorder="1" applyAlignment="1">
      <alignment vertical="top"/>
    </xf>
    <xf numFmtId="3" fontId="23" fillId="0" borderId="79" xfId="0" applyNumberFormat="1" applyFont="1" applyBorder="1" applyAlignment="1">
      <alignment vertical="top"/>
    </xf>
    <xf numFmtId="3" fontId="23" fillId="0" borderId="32" xfId="0" applyNumberFormat="1" applyFont="1" applyBorder="1" applyAlignment="1">
      <alignment vertical="top"/>
    </xf>
    <xf numFmtId="3" fontId="23" fillId="0" borderId="32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/>
    </xf>
    <xf numFmtId="3" fontId="24" fillId="0" borderId="32" xfId="0" applyNumberFormat="1" applyFont="1" applyBorder="1" applyAlignment="1">
      <alignment/>
    </xf>
    <xf numFmtId="3" fontId="23" fillId="0" borderId="78" xfId="0" applyNumberFormat="1" applyFont="1" applyBorder="1" applyAlignment="1">
      <alignment/>
    </xf>
    <xf numFmtId="3" fontId="23" fillId="0" borderId="80" xfId="0" applyNumberFormat="1" applyFont="1" applyBorder="1" applyAlignment="1">
      <alignment vertical="top"/>
    </xf>
    <xf numFmtId="3" fontId="23" fillId="0" borderId="81" xfId="0" applyNumberFormat="1" applyFont="1" applyBorder="1" applyAlignment="1">
      <alignment vertical="top"/>
    </xf>
    <xf numFmtId="3" fontId="23" fillId="0" borderId="81" xfId="64" applyNumberFormat="1" applyFont="1" applyBorder="1">
      <alignment/>
      <protection/>
    </xf>
    <xf numFmtId="3" fontId="23" fillId="0" borderId="81" xfId="0" applyNumberFormat="1" applyFont="1" applyBorder="1" applyAlignment="1">
      <alignment horizontal="center"/>
    </xf>
    <xf numFmtId="3" fontId="22" fillId="0" borderId="81" xfId="0" applyNumberFormat="1" applyFont="1" applyBorder="1" applyAlignment="1">
      <alignment/>
    </xf>
    <xf numFmtId="3" fontId="24" fillId="0" borderId="81" xfId="0" applyNumberFormat="1" applyFont="1" applyBorder="1" applyAlignment="1">
      <alignment/>
    </xf>
    <xf numFmtId="3" fontId="23" fillId="0" borderId="81" xfId="0" applyNumberFormat="1" applyFont="1" applyBorder="1" applyAlignment="1">
      <alignment/>
    </xf>
    <xf numFmtId="3" fontId="23" fillId="0" borderId="82" xfId="0" applyNumberFormat="1" applyFont="1" applyBorder="1" applyAlignment="1">
      <alignment/>
    </xf>
    <xf numFmtId="3" fontId="23" fillId="0" borderId="32" xfId="64" applyNumberFormat="1" applyFont="1" applyFill="1" applyBorder="1" applyAlignment="1">
      <alignment horizontal="center" vertical="center" wrapText="1"/>
      <protection/>
    </xf>
    <xf numFmtId="3" fontId="23" fillId="0" borderId="32" xfId="0" applyNumberFormat="1" applyFont="1" applyBorder="1" applyAlignment="1">
      <alignment horizontal="center" vertical="center"/>
    </xf>
    <xf numFmtId="3" fontId="23" fillId="0" borderId="78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top"/>
    </xf>
    <xf numFmtId="3" fontId="23" fillId="0" borderId="32" xfId="70" applyNumberFormat="1" applyFont="1" applyBorder="1">
      <alignment/>
      <protection/>
    </xf>
    <xf numFmtId="3" fontId="23" fillId="0" borderId="32" xfId="70" applyNumberFormat="1" applyFont="1" applyBorder="1" applyAlignment="1">
      <alignment horizontal="center"/>
      <protection/>
    </xf>
    <xf numFmtId="3" fontId="23" fillId="0" borderId="32" xfId="0" applyNumberFormat="1" applyFont="1" applyFill="1" applyBorder="1" applyAlignment="1">
      <alignment/>
    </xf>
    <xf numFmtId="3" fontId="24" fillId="0" borderId="81" xfId="0" applyNumberFormat="1" applyFont="1" applyBorder="1" applyAlignment="1">
      <alignment horizontal="center" vertical="center"/>
    </xf>
    <xf numFmtId="3" fontId="30" fillId="0" borderId="81" xfId="0" applyNumberFormat="1" applyFont="1" applyBorder="1" applyAlignment="1">
      <alignment vertical="center"/>
    </xf>
    <xf numFmtId="3" fontId="30" fillId="0" borderId="82" xfId="0" applyNumberFormat="1" applyFont="1" applyBorder="1" applyAlignment="1">
      <alignment vertical="center"/>
    </xf>
    <xf numFmtId="3" fontId="37" fillId="0" borderId="78" xfId="0" applyNumberFormat="1" applyFont="1" applyFill="1" applyBorder="1" applyAlignment="1">
      <alignment horizontal="center" vertical="center" wrapText="1"/>
    </xf>
    <xf numFmtId="3" fontId="31" fillId="0" borderId="32" xfId="0" applyNumberFormat="1" applyFont="1" applyFill="1" applyBorder="1" applyAlignment="1">
      <alignment/>
    </xf>
    <xf numFmtId="3" fontId="23" fillId="0" borderId="80" xfId="0" applyNumberFormat="1" applyFont="1" applyBorder="1" applyAlignment="1">
      <alignment vertical="center"/>
    </xf>
    <xf numFmtId="49" fontId="28" fillId="0" borderId="83" xfId="64" applyNumberFormat="1" applyFont="1" applyFill="1" applyBorder="1" applyAlignment="1">
      <alignment horizontal="center"/>
      <protection/>
    </xf>
    <xf numFmtId="3" fontId="28" fillId="0" borderId="76" xfId="64" applyNumberFormat="1" applyFont="1" applyFill="1" applyBorder="1" applyAlignment="1">
      <alignment horizontal="center"/>
      <protection/>
    </xf>
    <xf numFmtId="3" fontId="28" fillId="0" borderId="76" xfId="64" applyNumberFormat="1" applyFont="1" applyBorder="1" applyAlignment="1">
      <alignment horizontal="center"/>
      <protection/>
    </xf>
    <xf numFmtId="3" fontId="28" fillId="0" borderId="77" xfId="64" applyNumberFormat="1" applyFont="1" applyBorder="1" applyAlignment="1">
      <alignment horizontal="center"/>
      <protection/>
    </xf>
    <xf numFmtId="49" fontId="22" fillId="0" borderId="79" xfId="64" applyNumberFormat="1" applyFont="1" applyFill="1" applyBorder="1" applyAlignment="1">
      <alignment horizontal="center" vertical="center" textRotation="90"/>
      <protection/>
    </xf>
    <xf numFmtId="3" fontId="22" fillId="0" borderId="32" xfId="64" applyNumberFormat="1" applyFont="1" applyFill="1" applyBorder="1" applyAlignment="1">
      <alignment horizontal="center" vertical="center" wrapText="1"/>
      <protection/>
    </xf>
    <xf numFmtId="3" fontId="30" fillId="0" borderId="32" xfId="64" applyNumberFormat="1" applyFont="1" applyBorder="1" applyAlignment="1">
      <alignment horizontal="center" vertical="center"/>
      <protection/>
    </xf>
    <xf numFmtId="3" fontId="25" fillId="0" borderId="78" xfId="64" applyNumberFormat="1" applyFont="1" applyBorder="1" applyAlignment="1">
      <alignment horizontal="center" vertical="center" wrapText="1"/>
      <protection/>
    </xf>
    <xf numFmtId="49" fontId="25" fillId="0" borderId="79" xfId="64" applyNumberFormat="1" applyFont="1" applyFill="1" applyBorder="1" applyAlignment="1">
      <alignment horizontal="center"/>
      <protection/>
    </xf>
    <xf numFmtId="3" fontId="25" fillId="0" borderId="32" xfId="64" applyNumberFormat="1" applyFont="1" applyFill="1" applyBorder="1" applyAlignment="1">
      <alignment horizontal="center"/>
      <protection/>
    </xf>
    <xf numFmtId="3" fontId="28" fillId="0" borderId="32" xfId="64" applyNumberFormat="1" applyFont="1" applyFill="1" applyBorder="1" applyAlignment="1">
      <alignment horizontal="center"/>
      <protection/>
    </xf>
    <xf numFmtId="3" fontId="25" fillId="0" borderId="32" xfId="64" applyNumberFormat="1" applyFont="1" applyBorder="1">
      <alignment/>
      <protection/>
    </xf>
    <xf numFmtId="3" fontId="25" fillId="0" borderId="32" xfId="64" applyNumberFormat="1" applyFont="1" applyFill="1" applyBorder="1">
      <alignment/>
      <protection/>
    </xf>
    <xf numFmtId="3" fontId="25" fillId="0" borderId="78" xfId="64" applyNumberFormat="1" applyFont="1" applyFill="1" applyBorder="1">
      <alignment/>
      <protection/>
    </xf>
    <xf numFmtId="3" fontId="28" fillId="0" borderId="32" xfId="64" applyNumberFormat="1" applyFont="1" applyBorder="1">
      <alignment/>
      <protection/>
    </xf>
    <xf numFmtId="3" fontId="28" fillId="0" borderId="32" xfId="64" applyNumberFormat="1" applyFont="1" applyFill="1" applyBorder="1">
      <alignment/>
      <protection/>
    </xf>
    <xf numFmtId="3" fontId="28" fillId="0" borderId="78" xfId="64" applyNumberFormat="1" applyFont="1" applyBorder="1">
      <alignment/>
      <protection/>
    </xf>
    <xf numFmtId="49" fontId="28" fillId="0" borderId="79" xfId="64" applyNumberFormat="1" applyFont="1" applyFill="1" applyBorder="1" applyAlignment="1">
      <alignment horizontal="center"/>
      <protection/>
    </xf>
    <xf numFmtId="3" fontId="28" fillId="0" borderId="32" xfId="64" applyNumberFormat="1" applyFont="1" applyBorder="1" applyAlignment="1">
      <alignment horizontal="left" indent="1"/>
      <protection/>
    </xf>
    <xf numFmtId="3" fontId="28" fillId="0" borderId="78" xfId="64" applyNumberFormat="1" applyFont="1" applyFill="1" applyBorder="1">
      <alignment/>
      <protection/>
    </xf>
    <xf numFmtId="49" fontId="36" fillId="0" borderId="79" xfId="64" applyNumberFormat="1" applyFont="1" applyFill="1" applyBorder="1" applyAlignment="1">
      <alignment horizontal="center"/>
      <protection/>
    </xf>
    <xf numFmtId="3" fontId="36" fillId="0" borderId="32" xfId="64" applyNumberFormat="1" applyFont="1" applyFill="1" applyBorder="1" applyAlignment="1">
      <alignment horizontal="center"/>
      <protection/>
    </xf>
    <xf numFmtId="3" fontId="36" fillId="0" borderId="32" xfId="64" applyNumberFormat="1" applyFont="1" applyBorder="1" applyAlignment="1">
      <alignment horizontal="left" indent="2"/>
      <protection/>
    </xf>
    <xf numFmtId="3" fontId="36" fillId="0" borderId="32" xfId="64" applyNumberFormat="1" applyFont="1" applyBorder="1">
      <alignment/>
      <protection/>
    </xf>
    <xf numFmtId="3" fontId="36" fillId="0" borderId="78" xfId="64" applyNumberFormat="1" applyFont="1" applyBorder="1">
      <alignment/>
      <protection/>
    </xf>
    <xf numFmtId="3" fontId="28" fillId="0" borderId="32" xfId="64" applyNumberFormat="1" applyFont="1" applyBorder="1" applyAlignment="1">
      <alignment horizontal="left" indent="3"/>
      <protection/>
    </xf>
    <xf numFmtId="3" fontId="28" fillId="0" borderId="32" xfId="64" applyNumberFormat="1" applyFont="1" applyBorder="1" applyAlignment="1">
      <alignment horizontal="left" wrapText="1" indent="3"/>
      <protection/>
    </xf>
    <xf numFmtId="49" fontId="25" fillId="0" borderId="79" xfId="64" applyNumberFormat="1" applyFont="1" applyFill="1" applyBorder="1" applyAlignment="1">
      <alignment horizontal="center" vertical="center"/>
      <protection/>
    </xf>
    <xf numFmtId="3" fontId="25" fillId="0" borderId="32" xfId="64" applyNumberFormat="1" applyFont="1" applyFill="1" applyBorder="1" applyAlignment="1">
      <alignment horizontal="center" vertical="center"/>
      <protection/>
    </xf>
    <xf numFmtId="3" fontId="28" fillId="0" borderId="32" xfId="64" applyNumberFormat="1" applyFont="1" applyFill="1" applyBorder="1" applyAlignment="1">
      <alignment horizontal="center" vertical="center"/>
      <protection/>
    </xf>
    <xf numFmtId="3" fontId="25" fillId="0" borderId="32" xfId="64" applyNumberFormat="1" applyFont="1" applyBorder="1" applyAlignment="1">
      <alignment vertical="center"/>
      <protection/>
    </xf>
    <xf numFmtId="3" fontId="25" fillId="0" borderId="32" xfId="64" applyNumberFormat="1" applyFont="1" applyFill="1" applyBorder="1" applyAlignment="1">
      <alignment vertical="center"/>
      <protection/>
    </xf>
    <xf numFmtId="3" fontId="25" fillId="0" borderId="78" xfId="64" applyNumberFormat="1" applyFont="1" applyFill="1" applyBorder="1" applyAlignment="1">
      <alignment vertical="center"/>
      <protection/>
    </xf>
    <xf numFmtId="3" fontId="28" fillId="0" borderId="32" xfId="64" applyNumberFormat="1" applyFont="1" applyBorder="1" applyAlignment="1">
      <alignment/>
      <protection/>
    </xf>
    <xf numFmtId="3" fontId="28" fillId="0" borderId="78" xfId="64" applyNumberFormat="1" applyFont="1" applyBorder="1" applyAlignment="1">
      <alignment/>
      <protection/>
    </xf>
    <xf numFmtId="3" fontId="28" fillId="0" borderId="32" xfId="64" applyNumberFormat="1" applyFont="1" applyFill="1" applyBorder="1" applyAlignment="1">
      <alignment/>
      <protection/>
    </xf>
    <xf numFmtId="3" fontId="25" fillId="0" borderId="78" xfId="64" applyNumberFormat="1" applyFont="1" applyBorder="1" applyAlignment="1">
      <alignment vertical="center"/>
      <protection/>
    </xf>
    <xf numFmtId="49" fontId="25" fillId="0" borderId="80" xfId="64" applyNumberFormat="1" applyFont="1" applyFill="1" applyBorder="1" applyAlignment="1">
      <alignment horizontal="center" vertical="center"/>
      <protection/>
    </xf>
    <xf numFmtId="3" fontId="25" fillId="0" borderId="81" xfId="64" applyNumberFormat="1" applyFont="1" applyFill="1" applyBorder="1" applyAlignment="1">
      <alignment horizontal="center" vertical="center"/>
      <protection/>
    </xf>
    <xf numFmtId="3" fontId="28" fillId="0" borderId="81" xfId="64" applyNumberFormat="1" applyFont="1" applyFill="1" applyBorder="1" applyAlignment="1">
      <alignment horizontal="center" vertical="center"/>
      <protection/>
    </xf>
    <xf numFmtId="3" fontId="25" fillId="0" borderId="81" xfId="64" applyNumberFormat="1" applyFont="1" applyBorder="1" applyAlignment="1">
      <alignment vertical="center"/>
      <protection/>
    </xf>
    <xf numFmtId="3" fontId="25" fillId="0" borderId="82" xfId="64" applyNumberFormat="1" applyFont="1" applyBorder="1" applyAlignment="1">
      <alignment vertical="center"/>
      <protection/>
    </xf>
    <xf numFmtId="0" fontId="27" fillId="0" borderId="84" xfId="72" applyFont="1" applyFill="1" applyBorder="1" applyAlignment="1">
      <alignment horizontal="center" vertical="center"/>
      <protection/>
    </xf>
    <xf numFmtId="0" fontId="27" fillId="0" borderId="79" xfId="72" applyFont="1" applyFill="1" applyBorder="1" applyAlignment="1">
      <alignment horizontal="center" vertical="center"/>
      <protection/>
    </xf>
    <xf numFmtId="0" fontId="27" fillId="0" borderId="32" xfId="66" applyFont="1" applyFill="1" applyBorder="1" applyAlignment="1">
      <alignment wrapText="1"/>
      <protection/>
    </xf>
    <xf numFmtId="3" fontId="27" fillId="0" borderId="32" xfId="72" applyNumberFormat="1" applyFont="1" applyFill="1" applyBorder="1" applyAlignment="1">
      <alignment vertical="center"/>
      <protection/>
    </xf>
    <xf numFmtId="3" fontId="26" fillId="0" borderId="32" xfId="72" applyNumberFormat="1" applyFont="1" applyFill="1" applyBorder="1" applyAlignment="1">
      <alignment vertical="center"/>
      <protection/>
    </xf>
    <xf numFmtId="3" fontId="27" fillId="0" borderId="78" xfId="72" applyNumberFormat="1" applyFont="1" applyFill="1" applyBorder="1" applyAlignment="1">
      <alignment vertical="center"/>
      <protection/>
    </xf>
    <xf numFmtId="0" fontId="27" fillId="0" borderId="32" xfId="72" applyFont="1" applyFill="1" applyBorder="1" applyAlignment="1">
      <alignment horizontal="left" vertical="center" wrapText="1"/>
      <protection/>
    </xf>
    <xf numFmtId="0" fontId="27" fillId="0" borderId="80" xfId="72" applyFont="1" applyFill="1" applyBorder="1" applyAlignment="1">
      <alignment horizontal="center" vertical="center"/>
      <protection/>
    </xf>
    <xf numFmtId="0" fontId="27" fillId="0" borderId="81" xfId="72" applyFont="1" applyFill="1" applyBorder="1" applyAlignment="1">
      <alignment horizontal="left" vertical="center" wrapText="1"/>
      <protection/>
    </xf>
    <xf numFmtId="3" fontId="27" fillId="0" borderId="81" xfId="72" applyNumberFormat="1" applyFont="1" applyFill="1" applyBorder="1" applyAlignment="1">
      <alignment vertical="center"/>
      <protection/>
    </xf>
    <xf numFmtId="3" fontId="26" fillId="0" borderId="81" xfId="71" applyNumberFormat="1" applyFont="1" applyFill="1" applyBorder="1" applyAlignment="1">
      <alignment vertical="center"/>
      <protection/>
    </xf>
    <xf numFmtId="3" fontId="26" fillId="0" borderId="82" xfId="71" applyNumberFormat="1" applyFont="1" applyFill="1" applyBorder="1" applyAlignment="1">
      <alignment vertical="center"/>
      <protection/>
    </xf>
    <xf numFmtId="3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8" fillId="0" borderId="0" xfId="64" applyNumberFormat="1" applyFont="1" applyAlignment="1">
      <alignment horizontal="left"/>
      <protection/>
    </xf>
    <xf numFmtId="3" fontId="28" fillId="0" borderId="0" xfId="64" applyNumberFormat="1" applyFont="1" applyBorder="1" applyAlignment="1">
      <alignment horizontal="right"/>
      <protection/>
    </xf>
    <xf numFmtId="3" fontId="25" fillId="0" borderId="0" xfId="64" applyNumberFormat="1" applyFont="1" applyBorder="1" applyAlignment="1">
      <alignment horizontal="center"/>
      <protection/>
    </xf>
    <xf numFmtId="3" fontId="25" fillId="0" borderId="0" xfId="64" applyNumberFormat="1" applyFont="1" applyAlignment="1">
      <alignment horizontal="center"/>
      <protection/>
    </xf>
    <xf numFmtId="3" fontId="24" fillId="0" borderId="76" xfId="0" applyNumberFormat="1" applyFont="1" applyBorder="1" applyAlignment="1">
      <alignment horizontal="center" vertical="center" wrapText="1"/>
    </xf>
    <xf numFmtId="3" fontId="24" fillId="0" borderId="32" xfId="0" applyNumberFormat="1" applyFont="1" applyBorder="1" applyAlignment="1">
      <alignment horizontal="center" vertical="center" wrapText="1"/>
    </xf>
    <xf numFmtId="3" fontId="24" fillId="0" borderId="53" xfId="0" applyNumberFormat="1" applyFont="1" applyBorder="1" applyAlignment="1">
      <alignment horizontal="left" vertical="center"/>
    </xf>
    <xf numFmtId="3" fontId="24" fillId="0" borderId="53" xfId="0" applyNumberFormat="1" applyFont="1" applyBorder="1" applyAlignment="1">
      <alignment horizontal="left" vertical="top"/>
    </xf>
    <xf numFmtId="3" fontId="24" fillId="0" borderId="81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horizontal="left"/>
    </xf>
    <xf numFmtId="3" fontId="30" fillId="0" borderId="76" xfId="0" applyNumberFormat="1" applyFont="1" applyBorder="1" applyAlignment="1">
      <alignment horizontal="center" vertical="center"/>
    </xf>
    <xf numFmtId="3" fontId="30" fillId="0" borderId="32" xfId="0" applyNumberFormat="1" applyFont="1" applyBorder="1" applyAlignment="1">
      <alignment horizontal="center" vertical="center"/>
    </xf>
    <xf numFmtId="3" fontId="22" fillId="0" borderId="76" xfId="0" applyNumberFormat="1" applyFont="1" applyBorder="1" applyAlignment="1">
      <alignment horizontal="center" vertical="center" textRotation="90"/>
    </xf>
    <xf numFmtId="0" fontId="43" fillId="0" borderId="32" xfId="0" applyFont="1" applyBorder="1" applyAlignment="1">
      <alignment horizontal="center" vertical="center"/>
    </xf>
    <xf numFmtId="3" fontId="23" fillId="0" borderId="76" xfId="0" applyNumberFormat="1" applyFont="1" applyFill="1" applyBorder="1" applyAlignment="1">
      <alignment horizontal="center" vertical="center"/>
    </xf>
    <xf numFmtId="3" fontId="23" fillId="0" borderId="76" xfId="0" applyNumberFormat="1" applyFont="1" applyFill="1" applyBorder="1" applyAlignment="1">
      <alignment horizontal="center" vertical="center" wrapText="1"/>
    </xf>
    <xf numFmtId="3" fontId="23" fillId="0" borderId="77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3" fontId="22" fillId="0" borderId="83" xfId="0" applyNumberFormat="1" applyFont="1" applyBorder="1" applyAlignment="1">
      <alignment horizontal="center" vertical="center" textRotation="90"/>
    </xf>
    <xf numFmtId="3" fontId="22" fillId="0" borderId="79" xfId="0" applyNumberFormat="1" applyFont="1" applyBorder="1" applyAlignment="1">
      <alignment horizontal="center" vertical="center" textRotation="90"/>
    </xf>
    <xf numFmtId="3" fontId="23" fillId="0" borderId="32" xfId="0" applyNumberFormat="1" applyFont="1" applyFill="1" applyBorder="1" applyAlignment="1">
      <alignment horizontal="center" vertical="center" wrapText="1"/>
    </xf>
    <xf numFmtId="3" fontId="22" fillId="0" borderId="76" xfId="0" applyNumberFormat="1" applyFont="1" applyBorder="1" applyAlignment="1">
      <alignment horizontal="center" vertical="center" wrapText="1"/>
    </xf>
    <xf numFmtId="3" fontId="22" fillId="0" borderId="32" xfId="0" applyNumberFormat="1" applyFont="1" applyBorder="1" applyAlignment="1">
      <alignment horizontal="center" vertical="center" wrapText="1"/>
    </xf>
    <xf numFmtId="3" fontId="24" fillId="0" borderId="80" xfId="0" applyNumberFormat="1" applyFont="1" applyBorder="1" applyAlignment="1">
      <alignment horizontal="center" vertical="center"/>
    </xf>
    <xf numFmtId="3" fontId="24" fillId="0" borderId="81" xfId="0" applyNumberFormat="1" applyFont="1" applyBorder="1" applyAlignment="1">
      <alignment horizontal="center" vertical="center"/>
    </xf>
    <xf numFmtId="3" fontId="22" fillId="0" borderId="76" xfId="0" applyNumberFormat="1" applyFont="1" applyBorder="1" applyAlignment="1">
      <alignment horizontal="center" vertical="center" textRotation="90" wrapText="1"/>
    </xf>
    <xf numFmtId="0" fontId="43" fillId="0" borderId="32" xfId="0" applyFont="1" applyBorder="1" applyAlignment="1">
      <alignment horizontal="center" vertical="center" textRotation="90" wrapText="1"/>
    </xf>
    <xf numFmtId="3" fontId="23" fillId="0" borderId="0" xfId="0" applyNumberFormat="1" applyFont="1" applyAlignment="1">
      <alignment horizontal="left" vertical="top"/>
    </xf>
    <xf numFmtId="3" fontId="24" fillId="0" borderId="0" xfId="0" applyNumberFormat="1" applyFont="1" applyAlignment="1">
      <alignment horizontal="center"/>
    </xf>
    <xf numFmtId="3" fontId="22" fillId="0" borderId="32" xfId="0" applyNumberFormat="1" applyFont="1" applyBorder="1" applyAlignment="1">
      <alignment horizontal="center" vertical="center" textRotation="90"/>
    </xf>
    <xf numFmtId="3" fontId="23" fillId="0" borderId="76" xfId="64" applyNumberFormat="1" applyFont="1" applyFill="1" applyBorder="1" applyAlignment="1">
      <alignment horizontal="center" vertical="center" wrapText="1"/>
      <protection/>
    </xf>
    <xf numFmtId="3" fontId="23" fillId="0" borderId="77" xfId="64" applyNumberFormat="1" applyFont="1" applyFill="1" applyBorder="1" applyAlignment="1">
      <alignment horizontal="center" vertical="center" wrapText="1"/>
      <protection/>
    </xf>
    <xf numFmtId="3" fontId="24" fillId="0" borderId="0" xfId="64" applyNumberFormat="1" applyFont="1" applyAlignment="1">
      <alignment horizontal="center" vertical="center"/>
      <protection/>
    </xf>
    <xf numFmtId="3" fontId="23" fillId="0" borderId="0" xfId="64" applyNumberFormat="1" applyFont="1" applyAlignment="1">
      <alignment horizontal="left"/>
      <protection/>
    </xf>
    <xf numFmtId="3" fontId="22" fillId="0" borderId="83" xfId="64" applyNumberFormat="1" applyFont="1" applyBorder="1" applyAlignment="1">
      <alignment horizontal="center" vertical="center" textRotation="90"/>
      <protection/>
    </xf>
    <xf numFmtId="3" fontId="22" fillId="0" borderId="79" xfId="64" applyNumberFormat="1" applyFont="1" applyBorder="1" applyAlignment="1">
      <alignment horizontal="center" vertical="center" textRotation="90"/>
      <protection/>
    </xf>
    <xf numFmtId="0" fontId="30" fillId="0" borderId="76" xfId="64" applyFont="1" applyBorder="1" applyAlignment="1">
      <alignment horizontal="center" vertical="center"/>
      <protection/>
    </xf>
    <xf numFmtId="0" fontId="30" fillId="0" borderId="32" xfId="64" applyFont="1" applyBorder="1" applyAlignment="1">
      <alignment horizontal="center" vertical="center"/>
      <protection/>
    </xf>
    <xf numFmtId="3" fontId="23" fillId="0" borderId="0" xfId="64" applyNumberFormat="1" applyFont="1" applyFill="1" applyAlignment="1">
      <alignment horizontal="right"/>
      <protection/>
    </xf>
    <xf numFmtId="3" fontId="24" fillId="0" borderId="76" xfId="64" applyNumberFormat="1" applyFont="1" applyFill="1" applyBorder="1" applyAlignment="1">
      <alignment horizontal="center" vertical="center" wrapText="1"/>
      <protection/>
    </xf>
    <xf numFmtId="3" fontId="24" fillId="0" borderId="32" xfId="64" applyNumberFormat="1" applyFont="1" applyFill="1" applyBorder="1" applyAlignment="1">
      <alignment horizontal="center" vertical="center" wrapText="1"/>
      <protection/>
    </xf>
    <xf numFmtId="3" fontId="22" fillId="0" borderId="76" xfId="64" applyNumberFormat="1" applyFont="1" applyFill="1" applyBorder="1" applyAlignment="1">
      <alignment horizontal="center" vertical="center" textRotation="90"/>
      <protection/>
    </xf>
    <xf numFmtId="3" fontId="22" fillId="0" borderId="32" xfId="64" applyNumberFormat="1" applyFont="1" applyFill="1" applyBorder="1" applyAlignment="1">
      <alignment horizontal="center" vertical="center" textRotation="90"/>
      <protection/>
    </xf>
    <xf numFmtId="3" fontId="22" fillId="0" borderId="76" xfId="64" applyNumberFormat="1" applyFont="1" applyBorder="1" applyAlignment="1">
      <alignment horizontal="center" vertical="center" wrapText="1"/>
      <protection/>
    </xf>
    <xf numFmtId="3" fontId="22" fillId="0" borderId="32" xfId="64" applyNumberFormat="1" applyFont="1" applyBorder="1" applyAlignment="1">
      <alignment horizontal="center" vertical="center" wrapText="1"/>
      <protection/>
    </xf>
    <xf numFmtId="3" fontId="23" fillId="0" borderId="77" xfId="0" applyNumberFormat="1" applyFont="1" applyFill="1" applyBorder="1" applyAlignment="1">
      <alignment horizontal="center" vertical="center"/>
    </xf>
    <xf numFmtId="3" fontId="26" fillId="0" borderId="76" xfId="65" applyNumberFormat="1" applyFont="1" applyFill="1" applyBorder="1" applyAlignment="1">
      <alignment horizontal="center" vertical="center" wrapText="1"/>
      <protection/>
    </xf>
    <xf numFmtId="0" fontId="33" fillId="0" borderId="32" xfId="0" applyFont="1" applyFill="1" applyBorder="1" applyAlignment="1">
      <alignment horizontal="center" vertical="center" wrapText="1"/>
    </xf>
    <xf numFmtId="0" fontId="26" fillId="0" borderId="76" xfId="65" applyFont="1" applyFill="1" applyBorder="1" applyAlignment="1">
      <alignment horizontal="center" vertical="center" wrapText="1"/>
      <protection/>
    </xf>
    <xf numFmtId="0" fontId="26" fillId="0" borderId="32" xfId="65" applyFont="1" applyFill="1" applyBorder="1" applyAlignment="1">
      <alignment horizontal="center" vertical="center" wrapText="1"/>
      <protection/>
    </xf>
    <xf numFmtId="3" fontId="28" fillId="0" borderId="0" xfId="64" applyNumberFormat="1" applyFont="1" applyFill="1" applyBorder="1" applyAlignment="1">
      <alignment horizontal="left"/>
      <protection/>
    </xf>
    <xf numFmtId="0" fontId="29" fillId="0" borderId="0" xfId="72" applyFont="1" applyFill="1" applyBorder="1" applyAlignment="1">
      <alignment horizontal="center" vertical="center"/>
      <protection/>
    </xf>
    <xf numFmtId="0" fontId="28" fillId="0" borderId="0" xfId="72" applyFont="1" applyFill="1" applyBorder="1" applyAlignment="1">
      <alignment horizontal="right" vertical="center"/>
      <protection/>
    </xf>
    <xf numFmtId="0" fontId="23" fillId="0" borderId="83" xfId="65" applyFont="1" applyFill="1" applyBorder="1" applyAlignment="1">
      <alignment horizontal="center" vertical="center" textRotation="90"/>
      <protection/>
    </xf>
    <xf numFmtId="0" fontId="23" fillId="0" borderId="79" xfId="65" applyFont="1" applyFill="1" applyBorder="1" applyAlignment="1">
      <alignment horizontal="center" vertical="center" textRotation="90"/>
      <protection/>
    </xf>
    <xf numFmtId="3" fontId="26" fillId="0" borderId="77" xfId="65" applyNumberFormat="1" applyFont="1" applyFill="1" applyBorder="1" applyAlignment="1">
      <alignment horizontal="center" vertical="center" wrapText="1"/>
      <protection/>
    </xf>
    <xf numFmtId="0" fontId="33" fillId="0" borderId="78" xfId="0" applyFont="1" applyFill="1" applyBorder="1" applyAlignment="1">
      <alignment horizontal="center" vertical="center" wrapText="1"/>
    </xf>
    <xf numFmtId="3" fontId="26" fillId="0" borderId="32" xfId="65" applyNumberFormat="1" applyFont="1" applyFill="1" applyBorder="1" applyAlignment="1">
      <alignment horizontal="center" vertical="center" wrapText="1"/>
      <protection/>
    </xf>
    <xf numFmtId="3" fontId="24" fillId="0" borderId="76" xfId="73" applyNumberFormat="1" applyFont="1" applyFill="1" applyBorder="1" applyAlignment="1">
      <alignment horizontal="center" vertical="center" wrapText="1"/>
      <protection/>
    </xf>
    <xf numFmtId="3" fontId="24" fillId="0" borderId="32" xfId="73" applyNumberFormat="1" applyFont="1" applyFill="1" applyBorder="1" applyAlignment="1">
      <alignment horizontal="center" vertical="center" wrapText="1"/>
      <protection/>
    </xf>
    <xf numFmtId="0" fontId="24" fillId="0" borderId="83" xfId="73" applyFont="1" applyFill="1" applyBorder="1" applyAlignment="1">
      <alignment horizontal="center" vertical="center" wrapText="1"/>
      <protection/>
    </xf>
    <xf numFmtId="0" fontId="24" fillId="0" borderId="79" xfId="73" applyFont="1" applyFill="1" applyBorder="1" applyAlignment="1">
      <alignment horizontal="center" vertical="center" wrapText="1"/>
      <protection/>
    </xf>
    <xf numFmtId="0" fontId="23" fillId="0" borderId="0" xfId="73" applyFont="1" applyBorder="1" applyAlignment="1">
      <alignment horizontal="center"/>
      <protection/>
    </xf>
    <xf numFmtId="0" fontId="24" fillId="0" borderId="0" xfId="73" applyFont="1" applyBorder="1" applyAlignment="1">
      <alignment horizontal="center"/>
      <protection/>
    </xf>
    <xf numFmtId="3" fontId="24" fillId="0" borderId="77" xfId="73" applyNumberFormat="1" applyFont="1" applyFill="1" applyBorder="1" applyAlignment="1">
      <alignment horizontal="center" vertical="center" wrapText="1"/>
      <protection/>
    </xf>
    <xf numFmtId="3" fontId="24" fillId="0" borderId="78" xfId="73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3" fontId="47" fillId="24" borderId="83" xfId="59" applyNumberFormat="1" applyFont="1" applyFill="1" applyBorder="1" applyAlignment="1">
      <alignment horizontal="left"/>
      <protection/>
    </xf>
    <xf numFmtId="3" fontId="47" fillId="24" borderId="76" xfId="59" applyNumberFormat="1" applyFont="1" applyFill="1" applyBorder="1" applyAlignment="1">
      <alignment horizontal="left"/>
      <protection/>
    </xf>
    <xf numFmtId="3" fontId="47" fillId="24" borderId="79" xfId="59" applyNumberFormat="1" applyFont="1" applyFill="1" applyBorder="1" applyAlignment="1">
      <alignment horizontal="left"/>
      <protection/>
    </xf>
    <xf numFmtId="3" fontId="47" fillId="24" borderId="32" xfId="59" applyNumberFormat="1" applyFont="1" applyFill="1" applyBorder="1" applyAlignment="1">
      <alignment horizontal="left"/>
      <protection/>
    </xf>
    <xf numFmtId="3" fontId="44" fillId="28" borderId="32" xfId="59" applyNumberFormat="1" applyFont="1" applyFill="1" applyBorder="1" applyAlignment="1">
      <alignment horizontal="center"/>
      <protection/>
    </xf>
    <xf numFmtId="3" fontId="52" fillId="0" borderId="79" xfId="59" applyNumberFormat="1" applyFont="1" applyFill="1" applyBorder="1" applyAlignment="1">
      <alignment horizontal="center"/>
      <protection/>
    </xf>
    <xf numFmtId="3" fontId="52" fillId="0" borderId="32" xfId="59" applyNumberFormat="1" applyFont="1" applyFill="1" applyBorder="1" applyAlignment="1">
      <alignment horizontal="center"/>
      <protection/>
    </xf>
    <xf numFmtId="0" fontId="49" fillId="25" borderId="32" xfId="61" applyFont="1" applyFill="1" applyBorder="1" applyAlignment="1">
      <alignment wrapText="1"/>
      <protection/>
    </xf>
    <xf numFmtId="0" fontId="61" fillId="25" borderId="32" xfId="61" applyFont="1" applyFill="1" applyBorder="1" applyAlignment="1">
      <alignment wrapText="1"/>
      <protection/>
    </xf>
    <xf numFmtId="3" fontId="52" fillId="0" borderId="32" xfId="59" applyNumberFormat="1" applyFont="1" applyFill="1" applyBorder="1" applyAlignment="1">
      <alignment horizontal="center" wrapText="1"/>
      <protection/>
    </xf>
    <xf numFmtId="3" fontId="52" fillId="0" borderId="32" xfId="59" applyNumberFormat="1" applyFont="1" applyFill="1" applyBorder="1" applyAlignment="1">
      <alignment horizontal="left" wrapText="1"/>
      <protection/>
    </xf>
    <xf numFmtId="3" fontId="44" fillId="0" borderId="32" xfId="59" applyNumberFormat="1" applyFont="1" applyBorder="1" applyAlignment="1">
      <alignment horizontal="left"/>
      <protection/>
    </xf>
    <xf numFmtId="3" fontId="47" fillId="0" borderId="32" xfId="59" applyNumberFormat="1" applyFont="1" applyBorder="1" applyAlignment="1">
      <alignment horizontal="left"/>
      <protection/>
    </xf>
    <xf numFmtId="3" fontId="61" fillId="0" borderId="32" xfId="59" applyNumberFormat="1" applyFont="1" applyBorder="1" applyAlignment="1">
      <alignment horizontal="center"/>
      <protection/>
    </xf>
    <xf numFmtId="3" fontId="44" fillId="0" borderId="81" xfId="59" applyNumberFormat="1" applyFont="1" applyBorder="1" applyAlignment="1">
      <alignment horizontal="center"/>
      <protection/>
    </xf>
    <xf numFmtId="3" fontId="44" fillId="0" borderId="78" xfId="59" applyNumberFormat="1" applyFont="1" applyFill="1" applyBorder="1" applyAlignment="1">
      <alignment horizontal="center"/>
      <protection/>
    </xf>
    <xf numFmtId="3" fontId="44" fillId="0" borderId="82" xfId="59" applyNumberFormat="1" applyFont="1" applyFill="1" applyBorder="1" applyAlignment="1">
      <alignment horizontal="center"/>
      <protection/>
    </xf>
    <xf numFmtId="3" fontId="47" fillId="0" borderId="32" xfId="59" applyNumberFormat="1" applyFont="1" applyFill="1" applyBorder="1" applyAlignment="1">
      <alignment horizontal="left" wrapText="1"/>
      <protection/>
    </xf>
    <xf numFmtId="3" fontId="47" fillId="0" borderId="32" xfId="59" applyNumberFormat="1" applyFont="1" applyBorder="1" applyAlignment="1">
      <alignment horizontal="center"/>
      <protection/>
    </xf>
    <xf numFmtId="3" fontId="44" fillId="0" borderId="32" xfId="59" applyNumberFormat="1" applyFont="1" applyBorder="1" applyAlignment="1">
      <alignment horizontal="center"/>
      <protection/>
    </xf>
    <xf numFmtId="0" fontId="49" fillId="0" borderId="32" xfId="61" applyFont="1" applyBorder="1" applyAlignment="1">
      <alignment wrapText="1"/>
      <protection/>
    </xf>
    <xf numFmtId="3" fontId="24" fillId="0" borderId="10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24" fillId="0" borderId="11" xfId="0" applyFont="1" applyBorder="1" applyAlignment="1">
      <alignment horizontal="left"/>
    </xf>
    <xf numFmtId="0" fontId="23" fillId="0" borderId="0" xfId="0" applyFont="1" applyBorder="1" applyAlignment="1">
      <alignment wrapText="1"/>
    </xf>
    <xf numFmtId="0" fontId="0" fillId="0" borderId="0" xfId="0" applyAlignment="1">
      <alignment wrapText="1"/>
    </xf>
    <xf numFmtId="3" fontId="28" fillId="0" borderId="0" xfId="68" applyNumberFormat="1" applyFont="1" applyFill="1" applyAlignment="1">
      <alignment horizontal="right"/>
      <protection/>
    </xf>
    <xf numFmtId="0" fontId="26" fillId="0" borderId="0" xfId="68" applyFont="1" applyFill="1" applyAlignment="1">
      <alignment horizontal="center"/>
      <protection/>
    </xf>
    <xf numFmtId="0" fontId="25" fillId="0" borderId="0" xfId="68" applyFont="1" applyFill="1" applyAlignment="1">
      <alignment horizontal="center"/>
      <protection/>
    </xf>
    <xf numFmtId="3" fontId="28" fillId="0" borderId="0" xfId="68" applyNumberFormat="1" applyFont="1" applyFill="1" applyBorder="1" applyAlignment="1">
      <alignment horizontal="right"/>
      <protection/>
    </xf>
    <xf numFmtId="0" fontId="28" fillId="0" borderId="83" xfId="68" applyFont="1" applyFill="1" applyBorder="1" applyAlignment="1">
      <alignment horizontal="center" vertical="center" textRotation="90" wrapText="1"/>
      <protection/>
    </xf>
    <xf numFmtId="0" fontId="28" fillId="0" borderId="79" xfId="68" applyFont="1" applyFill="1" applyBorder="1" applyAlignment="1">
      <alignment horizontal="center" vertical="center" textRotation="90" wrapText="1"/>
      <protection/>
    </xf>
    <xf numFmtId="0" fontId="28" fillId="0" borderId="76" xfId="68" applyFont="1" applyFill="1" applyBorder="1" applyAlignment="1">
      <alignment horizontal="center" vertical="center" wrapText="1"/>
      <protection/>
    </xf>
    <xf numFmtId="0" fontId="28" fillId="0" borderId="32" xfId="68" applyFont="1" applyFill="1" applyBorder="1" applyAlignment="1">
      <alignment horizontal="center" vertical="center" wrapText="1"/>
      <protection/>
    </xf>
    <xf numFmtId="3" fontId="28" fillId="0" borderId="76" xfId="68" applyNumberFormat="1" applyFont="1" applyFill="1" applyBorder="1" applyAlignment="1">
      <alignment horizontal="center" vertical="center" wrapText="1"/>
      <protection/>
    </xf>
    <xf numFmtId="3" fontId="28" fillId="0" borderId="32" xfId="68" applyNumberFormat="1" applyFont="1" applyFill="1" applyBorder="1" applyAlignment="1">
      <alignment horizontal="center" vertical="center" wrapText="1"/>
      <protection/>
    </xf>
    <xf numFmtId="0" fontId="25" fillId="0" borderId="80" xfId="68" applyFont="1" applyFill="1" applyBorder="1" applyAlignment="1">
      <alignment horizontal="center" vertical="center"/>
      <protection/>
    </xf>
    <xf numFmtId="0" fontId="25" fillId="0" borderId="81" xfId="68" applyFont="1" applyFill="1" applyBorder="1" applyAlignment="1">
      <alignment horizontal="center" vertical="center"/>
      <protection/>
    </xf>
    <xf numFmtId="0" fontId="23" fillId="0" borderId="0" xfId="68" applyFont="1" applyFill="1" applyBorder="1" applyAlignment="1">
      <alignment horizontal="left"/>
      <protection/>
    </xf>
    <xf numFmtId="3" fontId="28" fillId="0" borderId="77" xfId="68" applyNumberFormat="1" applyFont="1" applyFill="1" applyBorder="1" applyAlignment="1">
      <alignment horizontal="center" vertical="center" wrapText="1"/>
      <protection/>
    </xf>
    <xf numFmtId="3" fontId="28" fillId="0" borderId="78" xfId="68" applyNumberFormat="1" applyFont="1" applyFill="1" applyBorder="1" applyAlignment="1">
      <alignment horizontal="center" vertical="center" wrapText="1"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3 2" xfId="61"/>
    <cellStyle name="Normál 4" xfId="62"/>
    <cellStyle name="Normál 5" xfId="63"/>
    <cellStyle name="Normál_2007.évi konc. összefoglaló bevétel" xfId="64"/>
    <cellStyle name="Normál_2008.évi költségvetési javaslat" xfId="65"/>
    <cellStyle name="Normál_Beruházási tábla 2007" xfId="66"/>
    <cellStyle name="Normál_Beruházási tábla 2007_2014.évi eredeti előirányzat" xfId="67"/>
    <cellStyle name="Normál_EU-s tábla kv-hez 2" xfId="68"/>
    <cellStyle name="Normál_EU-s tábla kv-hez_2014.évi eredeti előirányzat" xfId="69"/>
    <cellStyle name="Normál_Intézményi bevétel-kiadás" xfId="70"/>
    <cellStyle name="Normál_irodai végleges intézményekkel" xfId="71"/>
    <cellStyle name="Normál_Városfejlesztési Iroda - 2008. kv. tervezés" xfId="72"/>
    <cellStyle name="Normál_Városfejlesztési Iroda - 2008. kv. tervezés_2014.évi eredeti előirányzat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  <cellStyle name="Százalék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17</xdr:row>
      <xdr:rowOff>180975</xdr:rowOff>
    </xdr:from>
    <xdr:to>
      <xdr:col>6</xdr:col>
      <xdr:colOff>285750</xdr:colOff>
      <xdr:row>20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5057775" y="6191250"/>
          <a:ext cx="238125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180975</xdr:rowOff>
    </xdr:from>
    <xdr:to>
      <xdr:col>6</xdr:col>
      <xdr:colOff>285750</xdr:colOff>
      <xdr:row>20</xdr:row>
      <xdr:rowOff>381000</xdr:rowOff>
    </xdr:to>
    <xdr:sp>
      <xdr:nvSpPr>
        <xdr:cNvPr id="2" name="AutoShape 2"/>
        <xdr:cNvSpPr>
          <a:spLocks/>
        </xdr:cNvSpPr>
      </xdr:nvSpPr>
      <xdr:spPr>
        <a:xfrm>
          <a:off x="5057775" y="6191250"/>
          <a:ext cx="238125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-k&#246;lts&#233;gvet&#233;s%20koncepci&#243;%202014%20j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Kl&#225;ri\Timi\sz&#225;mla%20dokument&#225;ci&#243;\analitika\Analitika%20201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Személyi jellegű kiadások  "/>
      <sheetName val="Dologi kiadás"/>
      <sheetName val="Költségvetés (2)"/>
      <sheetName val="FElhalmozás analitika KA"/>
      <sheetName val="FElhalmozás analitika Keop"/>
    </sheetNames>
    <sheetDataSet>
      <sheetData sheetId="0">
        <row r="6">
          <cell r="E6">
            <v>94500</v>
          </cell>
        </row>
        <row r="8">
          <cell r="B8">
            <v>88505415.4743</v>
          </cell>
        </row>
        <row r="12">
          <cell r="L12">
            <v>23208000</v>
          </cell>
        </row>
        <row r="13">
          <cell r="L13">
            <v>9495400</v>
          </cell>
        </row>
        <row r="14">
          <cell r="L14">
            <v>12259800</v>
          </cell>
        </row>
        <row r="15">
          <cell r="L15">
            <v>12669675</v>
          </cell>
        </row>
        <row r="16">
          <cell r="L16">
            <v>14000000</v>
          </cell>
        </row>
        <row r="23">
          <cell r="F23">
            <v>1492285956</v>
          </cell>
        </row>
        <row r="26">
          <cell r="B26">
            <v>1385945000</v>
          </cell>
        </row>
        <row r="27">
          <cell r="B27">
            <v>1316647750</v>
          </cell>
        </row>
        <row r="33">
          <cell r="B33">
            <v>1328486050</v>
          </cell>
        </row>
        <row r="36">
          <cell r="B36">
            <v>609600</v>
          </cell>
        </row>
        <row r="38">
          <cell r="B38">
            <v>2835855</v>
          </cell>
        </row>
        <row r="39">
          <cell r="B39">
            <v>850000</v>
          </cell>
        </row>
        <row r="42">
          <cell r="B42">
            <v>1211250</v>
          </cell>
          <cell r="C42">
            <v>2943337.5</v>
          </cell>
        </row>
        <row r="45">
          <cell r="B45">
            <v>64346679</v>
          </cell>
        </row>
        <row r="52">
          <cell r="B52">
            <v>4561865</v>
          </cell>
        </row>
        <row r="53">
          <cell r="B53">
            <v>36716277</v>
          </cell>
        </row>
        <row r="62">
          <cell r="B62">
            <v>50000000</v>
          </cell>
          <cell r="C62">
            <v>196683000</v>
          </cell>
          <cell r="F62">
            <v>73345835.08999997</v>
          </cell>
        </row>
      </sheetData>
      <sheetData sheetId="1">
        <row r="22">
          <cell r="P22">
            <v>12381932</v>
          </cell>
        </row>
        <row r="28">
          <cell r="P28">
            <v>4004167.64</v>
          </cell>
        </row>
        <row r="32">
          <cell r="P32">
            <v>294760</v>
          </cell>
        </row>
      </sheetData>
      <sheetData sheetId="2">
        <row r="10">
          <cell r="B10">
            <v>6277814</v>
          </cell>
        </row>
        <row r="11">
          <cell r="B11">
            <v>1695009.78</v>
          </cell>
        </row>
        <row r="15">
          <cell r="B15">
            <v>5040000</v>
          </cell>
        </row>
        <row r="16">
          <cell r="B16">
            <v>1360800</v>
          </cell>
        </row>
        <row r="21">
          <cell r="B21">
            <v>336375.76775829034</v>
          </cell>
        </row>
        <row r="25">
          <cell r="B25">
            <v>2290000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ltségvetés"/>
      <sheetName val="Kiadások"/>
      <sheetName val="Bevétel"/>
    </sheetNames>
    <sheetDataSet>
      <sheetData sheetId="1">
        <row r="5">
          <cell r="C5" t="str">
            <v>Alapilletmények</v>
          </cell>
          <cell r="D5">
            <v>784700</v>
          </cell>
        </row>
        <row r="6">
          <cell r="C6" t="str">
            <v>Nyelvpótlék</v>
          </cell>
          <cell r="D6">
            <v>10000</v>
          </cell>
        </row>
        <row r="7">
          <cell r="C7" t="str">
            <v>vezetői illetménypótlék</v>
          </cell>
          <cell r="D7">
            <v>50000</v>
          </cell>
        </row>
        <row r="8">
          <cell r="C8" t="str">
            <v>Keresetkiegészítések</v>
          </cell>
          <cell r="D8">
            <v>10792</v>
          </cell>
        </row>
        <row r="9">
          <cell r="C9" t="str">
            <v>Társadalombiztosítási járulék</v>
          </cell>
          <cell r="D9">
            <v>198828</v>
          </cell>
        </row>
        <row r="10">
          <cell r="C10" t="str">
            <v>Munkaadói járulék</v>
          </cell>
          <cell r="D10">
            <v>15736</v>
          </cell>
        </row>
        <row r="11">
          <cell r="C11" t="str">
            <v>Egészségügyi hozzájárulás</v>
          </cell>
          <cell r="D11">
            <v>3900</v>
          </cell>
        </row>
        <row r="12">
          <cell r="C12" t="str">
            <v>Startkártya járulékai</v>
          </cell>
          <cell r="D12">
            <v>14029</v>
          </cell>
        </row>
        <row r="13">
          <cell r="C13" t="str">
            <v>Könyvvizsgálati díj</v>
          </cell>
          <cell r="D13">
            <v>170000</v>
          </cell>
        </row>
        <row r="14">
          <cell r="C14" t="str">
            <v>Társadalombiztosítási járulék</v>
          </cell>
          <cell r="D14">
            <v>203400</v>
          </cell>
        </row>
        <row r="15">
          <cell r="C15" t="str">
            <v>Munkaadói járulék</v>
          </cell>
          <cell r="D15">
            <v>43000</v>
          </cell>
        </row>
        <row r="16">
          <cell r="C16" t="str">
            <v>Közlekedési költségtérítés</v>
          </cell>
          <cell r="D16">
            <v>4788</v>
          </cell>
        </row>
        <row r="17">
          <cell r="C17" t="str">
            <v>Reprezentáció</v>
          </cell>
          <cell r="D17">
            <v>1600</v>
          </cell>
        </row>
        <row r="18">
          <cell r="C18" t="str">
            <v>Műszaki és Pénzügyi tanácsadás</v>
          </cell>
          <cell r="D18">
            <v>112500</v>
          </cell>
        </row>
        <row r="19">
          <cell r="C19" t="str">
            <v>Bérleti és lízingdíjak</v>
          </cell>
          <cell r="D19">
            <v>32000</v>
          </cell>
        </row>
        <row r="20">
          <cell r="C20" t="str">
            <v>Reprezentáció</v>
          </cell>
          <cell r="D20">
            <v>34144</v>
          </cell>
        </row>
        <row r="21">
          <cell r="C21" t="str">
            <v>Felügyelő mérnök költsége</v>
          </cell>
          <cell r="D21">
            <v>229707</v>
          </cell>
        </row>
        <row r="22">
          <cell r="C22" t="str">
            <v>Pénzforgalmi jutalék</v>
          </cell>
          <cell r="D22">
            <v>3301</v>
          </cell>
        </row>
        <row r="23">
          <cell r="C23" t="str">
            <v>PR tevékenység</v>
          </cell>
          <cell r="D23">
            <v>350590</v>
          </cell>
        </row>
        <row r="24">
          <cell r="C24" t="str">
            <v>Pénzforgalmi jutalék</v>
          </cell>
          <cell r="D24">
            <v>3301</v>
          </cell>
        </row>
        <row r="25">
          <cell r="C25" t="str">
            <v>LOT2 - egyéb létesítmények</v>
          </cell>
          <cell r="D25">
            <v>12040849</v>
          </cell>
        </row>
        <row r="26">
          <cell r="C26" t="str">
            <v>Pénzforgalmi jutalék</v>
          </cell>
          <cell r="D26">
            <v>14450</v>
          </cell>
        </row>
        <row r="27">
          <cell r="C27" t="str">
            <v>Közlekedési költségtérítés</v>
          </cell>
          <cell r="D27">
            <v>4790</v>
          </cell>
        </row>
        <row r="28">
          <cell r="C28" t="str">
            <v>Belföldi kiküldetés</v>
          </cell>
          <cell r="D28">
            <v>9017</v>
          </cell>
        </row>
        <row r="29">
          <cell r="C29" t="str">
            <v>Reprezentáció</v>
          </cell>
          <cell r="D29">
            <v>35000</v>
          </cell>
        </row>
        <row r="30">
          <cell r="C30" t="str">
            <v>Kisértékű tárgyi eszköz, szellemi termékek beszerzése</v>
          </cell>
          <cell r="D30">
            <v>49900</v>
          </cell>
        </row>
        <row r="31">
          <cell r="C31" t="str">
            <v>közbeszerzés - közzététel, értékelés</v>
          </cell>
          <cell r="D31">
            <v>24000</v>
          </cell>
        </row>
        <row r="32">
          <cell r="C32" t="str">
            <v>közbeszerzés - közzététel, értékelés</v>
          </cell>
          <cell r="D32">
            <v>24000</v>
          </cell>
        </row>
        <row r="33">
          <cell r="C33" t="str">
            <v>közbeszerzés - közzététel, értékelés</v>
          </cell>
          <cell r="D33">
            <v>24000</v>
          </cell>
        </row>
        <row r="34">
          <cell r="C34" t="str">
            <v>Egyéb dologi kiadások</v>
          </cell>
          <cell r="D34">
            <v>150000</v>
          </cell>
        </row>
        <row r="35">
          <cell r="C35" t="str">
            <v>Könyvvizsgálati díj</v>
          </cell>
          <cell r="D35">
            <v>170000</v>
          </cell>
        </row>
        <row r="36">
          <cell r="C36" t="str">
            <v>közbeszerzés - közzététel, értékelés</v>
          </cell>
          <cell r="D36">
            <v>24000</v>
          </cell>
        </row>
        <row r="37">
          <cell r="C37" t="str">
            <v>közbeszerzés - közzététel, értékelés</v>
          </cell>
          <cell r="D37">
            <v>24000</v>
          </cell>
        </row>
        <row r="38">
          <cell r="C38" t="str">
            <v>közbeszerzés - közzététel, értékelés</v>
          </cell>
          <cell r="D38">
            <v>24000</v>
          </cell>
        </row>
        <row r="39">
          <cell r="C39" t="str">
            <v>Reklám és propagandakiadások</v>
          </cell>
          <cell r="D39">
            <v>280000</v>
          </cell>
        </row>
        <row r="40">
          <cell r="C40" t="str">
            <v>Reprezentáció</v>
          </cell>
          <cell r="D40">
            <v>27944</v>
          </cell>
        </row>
        <row r="41">
          <cell r="C41" t="str">
            <v>Reprezentáció</v>
          </cell>
          <cell r="D41">
            <v>17328</v>
          </cell>
        </row>
        <row r="42">
          <cell r="C42" t="str">
            <v>Közlekedési költségtérítés</v>
          </cell>
          <cell r="D42">
            <v>5510</v>
          </cell>
        </row>
        <row r="43">
          <cell r="C43" t="str">
            <v>Közlekedési költségtérítés</v>
          </cell>
          <cell r="D43">
            <v>6498</v>
          </cell>
        </row>
        <row r="44">
          <cell r="C44" t="str">
            <v>Belföldi kiküldetés</v>
          </cell>
          <cell r="D44">
            <v>4471</v>
          </cell>
        </row>
        <row r="45">
          <cell r="C45" t="str">
            <v>Reprezentáció</v>
          </cell>
          <cell r="D45">
            <v>28880</v>
          </cell>
        </row>
        <row r="46">
          <cell r="C46" t="str">
            <v>Reprezentáció</v>
          </cell>
          <cell r="D46">
            <v>1344</v>
          </cell>
        </row>
        <row r="47">
          <cell r="C47" t="str">
            <v>Kommunikációs szolgáltatás</v>
          </cell>
          <cell r="D47">
            <v>84960</v>
          </cell>
        </row>
        <row r="48">
          <cell r="C48" t="str">
            <v>Reprezentáció</v>
          </cell>
          <cell r="D48">
            <v>12000</v>
          </cell>
        </row>
        <row r="49">
          <cell r="C49" t="str">
            <v>Belföldi kiküldetés</v>
          </cell>
          <cell r="D49">
            <v>4960</v>
          </cell>
        </row>
        <row r="50">
          <cell r="C50" t="str">
            <v>Belföldi kiküldetés</v>
          </cell>
          <cell r="D50">
            <v>4960</v>
          </cell>
        </row>
        <row r="51">
          <cell r="C51" t="str">
            <v>Folyóirat</v>
          </cell>
          <cell r="D51">
            <v>19488</v>
          </cell>
        </row>
        <row r="52">
          <cell r="C52" t="str">
            <v>Alapilletmények</v>
          </cell>
          <cell r="D52">
            <v>793100</v>
          </cell>
        </row>
        <row r="53">
          <cell r="C53" t="str">
            <v>Nyelvpótlék</v>
          </cell>
          <cell r="D53">
            <v>10000</v>
          </cell>
        </row>
        <row r="54">
          <cell r="C54" t="str">
            <v>vezetői illetménypótlék</v>
          </cell>
          <cell r="D54">
            <v>50000</v>
          </cell>
        </row>
        <row r="55">
          <cell r="C55" t="str">
            <v>Keresetkiegészítések</v>
          </cell>
          <cell r="D55">
            <v>98000</v>
          </cell>
        </row>
        <row r="56">
          <cell r="C56" t="str">
            <v>Társadalombiztosítási járulék</v>
          </cell>
          <cell r="D56">
            <v>201025</v>
          </cell>
        </row>
        <row r="57">
          <cell r="C57" t="str">
            <v>Munkaerőpiaci járulék</v>
          </cell>
          <cell r="D57">
            <v>16083</v>
          </cell>
        </row>
        <row r="58">
          <cell r="C58" t="str">
            <v>Startkártya járulékai</v>
          </cell>
          <cell r="D58">
            <v>14700</v>
          </cell>
        </row>
        <row r="59">
          <cell r="C59" t="str">
            <v>Munkáltató által fizetett személyi jövedelemadó</v>
          </cell>
          <cell r="D59">
            <v>1198</v>
          </cell>
        </row>
        <row r="60">
          <cell r="C60" t="str">
            <v>Postai díjak</v>
          </cell>
          <cell r="D60">
            <v>1160</v>
          </cell>
        </row>
        <row r="61">
          <cell r="C61" t="str">
            <v>Könyvvizsgálati díj</v>
          </cell>
          <cell r="D61">
            <v>170000</v>
          </cell>
        </row>
        <row r="62">
          <cell r="C62" t="str">
            <v>LOT1 - Királyszentistván</v>
          </cell>
          <cell r="D62">
            <v>86796325</v>
          </cell>
        </row>
        <row r="63">
          <cell r="C63" t="str">
            <v>Pénzforgalmi jutalék</v>
          </cell>
          <cell r="D63">
            <v>80001</v>
          </cell>
        </row>
        <row r="64">
          <cell r="C64" t="str">
            <v>Reprezentáció</v>
          </cell>
          <cell r="D64">
            <v>5600</v>
          </cell>
        </row>
        <row r="65">
          <cell r="C65" t="str">
            <v>Vásárolt termékek és szolgáltatások általános forgalmi adója</v>
          </cell>
          <cell r="D65">
            <v>0</v>
          </cell>
        </row>
        <row r="66">
          <cell r="C66" t="str">
            <v>Közlekedési költségtérítés</v>
          </cell>
          <cell r="D66">
            <v>5510</v>
          </cell>
        </row>
        <row r="67">
          <cell r="C67" t="str">
            <v>Közlekedési költségtérítés</v>
          </cell>
          <cell r="D67">
            <v>6840</v>
          </cell>
        </row>
        <row r="68">
          <cell r="C68" t="str">
            <v>Reprezentáció</v>
          </cell>
          <cell r="D68">
            <v>26752</v>
          </cell>
        </row>
        <row r="69">
          <cell r="C69" t="str">
            <v>KEOP-El nem számolható költség</v>
          </cell>
          <cell r="D69">
            <v>6250</v>
          </cell>
        </row>
        <row r="70">
          <cell r="C70" t="str">
            <v>Reprezentáció</v>
          </cell>
          <cell r="D70">
            <v>37192</v>
          </cell>
        </row>
        <row r="71">
          <cell r="C71" t="str">
            <v>Jogi szolgáltatás</v>
          </cell>
          <cell r="D71">
            <v>133920</v>
          </cell>
        </row>
        <row r="72">
          <cell r="C72" t="str">
            <v>Karbantartási, kisjavítási szolgáltatások kiadásai</v>
          </cell>
          <cell r="D72">
            <v>5000</v>
          </cell>
        </row>
        <row r="73">
          <cell r="C73" t="str">
            <v>PR tevékenység</v>
          </cell>
          <cell r="D73">
            <v>341442</v>
          </cell>
        </row>
        <row r="74">
          <cell r="C74" t="str">
            <v>Pénzforgalmi jutalék</v>
          </cell>
          <cell r="D74">
            <v>3300</v>
          </cell>
        </row>
        <row r="75">
          <cell r="C75" t="str">
            <v>Reprezentáció</v>
          </cell>
          <cell r="D75">
            <v>20800</v>
          </cell>
        </row>
        <row r="76">
          <cell r="C76" t="str">
            <v>Pénzforgalmi jutalék</v>
          </cell>
          <cell r="D76">
            <v>1150</v>
          </cell>
        </row>
        <row r="77">
          <cell r="C77" t="str">
            <v>Könyvvizsgálati díj</v>
          </cell>
          <cell r="D77">
            <v>170000</v>
          </cell>
        </row>
        <row r="78">
          <cell r="C78" t="str">
            <v>Postai díjak</v>
          </cell>
          <cell r="D78">
            <v>295</v>
          </cell>
        </row>
        <row r="79">
          <cell r="C79" t="str">
            <v>Reprezentáció</v>
          </cell>
          <cell r="D79">
            <v>33408</v>
          </cell>
        </row>
        <row r="80">
          <cell r="C80" t="str">
            <v>LOT2 - egyéb létesítmények</v>
          </cell>
          <cell r="D80">
            <v>22445389</v>
          </cell>
        </row>
        <row r="81">
          <cell r="C81" t="str">
            <v>Pénzforgalmi jutalék</v>
          </cell>
          <cell r="D81">
            <v>26934</v>
          </cell>
        </row>
        <row r="82">
          <cell r="C82" t="str">
            <v>Alapilletmények</v>
          </cell>
          <cell r="D82">
            <v>793100</v>
          </cell>
        </row>
        <row r="83">
          <cell r="C83" t="str">
            <v>Nyelvpótlék</v>
          </cell>
          <cell r="D83">
            <v>10000</v>
          </cell>
        </row>
        <row r="84">
          <cell r="C84" t="str">
            <v>vezetői illetménypótlék</v>
          </cell>
          <cell r="D84">
            <v>50000</v>
          </cell>
        </row>
        <row r="85">
          <cell r="C85" t="str">
            <v>Társadalombiztosítási járulék</v>
          </cell>
          <cell r="D85">
            <v>180900</v>
          </cell>
        </row>
        <row r="86">
          <cell r="C86" t="str">
            <v>Munkaerőpiaci járulék</v>
          </cell>
          <cell r="D86">
            <v>14473</v>
          </cell>
        </row>
        <row r="87">
          <cell r="C87" t="str">
            <v>Startkártya járulékai</v>
          </cell>
          <cell r="D87">
            <v>12950</v>
          </cell>
        </row>
        <row r="88">
          <cell r="C88" t="str">
            <v>Munkáltató által fizetett személyi jövedelemadó</v>
          </cell>
          <cell r="D88">
            <v>1378</v>
          </cell>
        </row>
        <row r="89">
          <cell r="C89" t="str">
            <v>Közlekedési költségtérítés</v>
          </cell>
          <cell r="D89">
            <v>5510</v>
          </cell>
        </row>
        <row r="90">
          <cell r="C90" t="str">
            <v>Szállítási szolgáltatás díja</v>
          </cell>
          <cell r="D90">
            <v>18000</v>
          </cell>
        </row>
        <row r="91">
          <cell r="C91" t="str">
            <v>Reprezentáció</v>
          </cell>
          <cell r="D91">
            <v>23200</v>
          </cell>
        </row>
        <row r="92">
          <cell r="C92" t="str">
            <v>Belföldi kiküldetés</v>
          </cell>
          <cell r="D92">
            <v>4960</v>
          </cell>
        </row>
        <row r="93">
          <cell r="C93" t="str">
            <v>Közlekedési költségtérítés</v>
          </cell>
          <cell r="D93">
            <v>6156</v>
          </cell>
        </row>
        <row r="94">
          <cell r="C94" t="str">
            <v>Karbantartási, kisjavítási szolgáltatások kiadásai</v>
          </cell>
          <cell r="D94">
            <v>9250</v>
          </cell>
        </row>
        <row r="95">
          <cell r="C95" t="str">
            <v>Reprezentáció</v>
          </cell>
          <cell r="D95">
            <v>14400</v>
          </cell>
        </row>
        <row r="96">
          <cell r="C96" t="str">
            <v>Kisértékű tárgyi eszköz, szellemi termékek beszerzése</v>
          </cell>
          <cell r="D96">
            <v>5200</v>
          </cell>
        </row>
        <row r="97">
          <cell r="C97" t="str">
            <v>Alapilletmények</v>
          </cell>
          <cell r="D97">
            <v>784700</v>
          </cell>
        </row>
        <row r="98">
          <cell r="C98" t="str">
            <v>Nyelvpótlék</v>
          </cell>
          <cell r="D98">
            <v>10000</v>
          </cell>
        </row>
        <row r="99">
          <cell r="C99" t="str">
            <v>vezetői illetménypótlék</v>
          </cell>
          <cell r="D99">
            <v>50000</v>
          </cell>
        </row>
        <row r="100">
          <cell r="C100" t="str">
            <v>Keresetkiegészítések</v>
          </cell>
          <cell r="D100">
            <v>10792</v>
          </cell>
        </row>
        <row r="101">
          <cell r="C101" t="str">
            <v>Jutalom</v>
          </cell>
          <cell r="D101">
            <v>860000</v>
          </cell>
        </row>
        <row r="102">
          <cell r="C102" t="str">
            <v>Társadalombiztosítási járulék</v>
          </cell>
          <cell r="D102">
            <v>445747</v>
          </cell>
        </row>
        <row r="103">
          <cell r="C103" t="str">
            <v>Munkaadói járulék</v>
          </cell>
          <cell r="D103">
            <v>39832</v>
          </cell>
        </row>
        <row r="104">
          <cell r="C104" t="str">
            <v>Startkártya járulékai</v>
          </cell>
          <cell r="D104">
            <v>14029</v>
          </cell>
        </row>
        <row r="105">
          <cell r="C105" t="str">
            <v>Egészségügyi hozzájárulás</v>
          </cell>
          <cell r="D105">
            <v>3900</v>
          </cell>
        </row>
        <row r="106">
          <cell r="C106" t="str">
            <v>Jutalom</v>
          </cell>
          <cell r="D106">
            <v>-675840</v>
          </cell>
        </row>
        <row r="107">
          <cell r="C107" t="str">
            <v>Reprezentáció</v>
          </cell>
          <cell r="D107">
            <v>2356</v>
          </cell>
        </row>
        <row r="108">
          <cell r="C108" t="str">
            <v>Műszaki és Pénzügyi tanácsadás</v>
          </cell>
          <cell r="D108">
            <v>112500</v>
          </cell>
        </row>
        <row r="109">
          <cell r="C109" t="str">
            <v>Reprezentáció</v>
          </cell>
          <cell r="D109">
            <v>25592</v>
          </cell>
        </row>
        <row r="110">
          <cell r="C110" t="str">
            <v>Kommunikációs szolgáltatás</v>
          </cell>
          <cell r="D110">
            <v>84960</v>
          </cell>
        </row>
        <row r="111">
          <cell r="C111" t="str">
            <v>Felügyelő mérnök költsége</v>
          </cell>
          <cell r="D111">
            <v>224979</v>
          </cell>
        </row>
        <row r="112">
          <cell r="C112" t="str">
            <v>Pénzforgalmi jutalék</v>
          </cell>
          <cell r="D112">
            <v>3300</v>
          </cell>
        </row>
        <row r="113">
          <cell r="C113" t="str">
            <v>visszautalás</v>
          </cell>
          <cell r="D113">
            <v>77614</v>
          </cell>
        </row>
        <row r="114">
          <cell r="C114" t="str">
            <v>Egyéb, a beruházás megvalósításához kapcsolódó tevékenység költsége</v>
          </cell>
          <cell r="D114">
            <v>934200</v>
          </cell>
        </row>
        <row r="115">
          <cell r="C115" t="str">
            <v>LOT1 - Királyszentistván</v>
          </cell>
          <cell r="D115">
            <v>67548720</v>
          </cell>
        </row>
        <row r="116">
          <cell r="C116" t="str">
            <v>Pénzforgalmi jutalék</v>
          </cell>
          <cell r="D116">
            <v>80000</v>
          </cell>
        </row>
        <row r="117">
          <cell r="C117" t="str">
            <v>Alapilletmények</v>
          </cell>
          <cell r="D117">
            <v>793100</v>
          </cell>
        </row>
        <row r="118">
          <cell r="C118" t="str">
            <v>Nyelvpótlék</v>
          </cell>
          <cell r="D118">
            <v>10000</v>
          </cell>
        </row>
        <row r="119">
          <cell r="C119" t="str">
            <v>vezetői illetménypótlék</v>
          </cell>
          <cell r="D119">
            <v>50000</v>
          </cell>
        </row>
        <row r="120">
          <cell r="C120" t="str">
            <v>Keresetkiegészítések</v>
          </cell>
          <cell r="D120">
            <v>98000</v>
          </cell>
        </row>
        <row r="121">
          <cell r="C121" t="str">
            <v>Társadalombiztosítási járulék</v>
          </cell>
          <cell r="D121">
            <v>201025</v>
          </cell>
        </row>
        <row r="122">
          <cell r="C122" t="str">
            <v>Munkaerőpiaci járulék</v>
          </cell>
          <cell r="D122">
            <v>16083</v>
          </cell>
        </row>
        <row r="123">
          <cell r="C123" t="str">
            <v>Startkártya járulékai</v>
          </cell>
          <cell r="D123">
            <v>14700</v>
          </cell>
        </row>
        <row r="124">
          <cell r="C124" t="str">
            <v>Munkáltató által fizetett személyi jövedelemadó</v>
          </cell>
          <cell r="D124">
            <v>1378</v>
          </cell>
        </row>
        <row r="125">
          <cell r="C125" t="str">
            <v>Könyvvizsgálati díj</v>
          </cell>
          <cell r="D125">
            <v>170000</v>
          </cell>
        </row>
        <row r="126">
          <cell r="C126" t="str">
            <v>Közlekedési költségtérítés</v>
          </cell>
          <cell r="D126">
            <v>5510</v>
          </cell>
        </row>
        <row r="127">
          <cell r="C127" t="str">
            <v>Közlekedési költségtérítés</v>
          </cell>
          <cell r="D127">
            <v>6498</v>
          </cell>
        </row>
        <row r="128">
          <cell r="C128" t="str">
            <v>Reprezentáció</v>
          </cell>
          <cell r="D128">
            <v>18712</v>
          </cell>
        </row>
        <row r="129">
          <cell r="C129" t="str">
            <v>Bérleti és lízingdíjak</v>
          </cell>
          <cell r="D129">
            <v>20000</v>
          </cell>
        </row>
        <row r="130">
          <cell r="C130" t="str">
            <v>Egyéb dologi kiadások</v>
          </cell>
          <cell r="D130">
            <v>10000</v>
          </cell>
        </row>
        <row r="131">
          <cell r="C131" t="str">
            <v>Pénzforgalmi jutalék</v>
          </cell>
          <cell r="D131">
            <v>3300</v>
          </cell>
        </row>
        <row r="132">
          <cell r="C132" t="str">
            <v>Felügyelő mérnök költsége</v>
          </cell>
          <cell r="D132">
            <v>594118</v>
          </cell>
        </row>
        <row r="133">
          <cell r="C133" t="str">
            <v>Pénzforgalmi jutalék</v>
          </cell>
          <cell r="D133">
            <v>3299</v>
          </cell>
        </row>
        <row r="134">
          <cell r="C134" t="str">
            <v>Reprezentáció</v>
          </cell>
          <cell r="D134">
            <v>30112</v>
          </cell>
        </row>
        <row r="135">
          <cell r="C135" t="str">
            <v>Kisértékű tárgyi eszköz, szellemi termékek beszerzése</v>
          </cell>
          <cell r="D135">
            <v>52140</v>
          </cell>
        </row>
        <row r="136">
          <cell r="D136">
            <v>1200000</v>
          </cell>
        </row>
        <row r="137">
          <cell r="D137">
            <v>1000000</v>
          </cell>
        </row>
        <row r="138">
          <cell r="D138">
            <v>1200000</v>
          </cell>
        </row>
        <row r="139">
          <cell r="D139">
            <v>1000000</v>
          </cell>
        </row>
        <row r="140">
          <cell r="C140" t="str">
            <v>Könyvvizsgálati díj</v>
          </cell>
          <cell r="D140">
            <v>170000</v>
          </cell>
        </row>
        <row r="141">
          <cell r="C141" t="str">
            <v>Közlekedési költségtérítés</v>
          </cell>
          <cell r="D141">
            <v>5510</v>
          </cell>
        </row>
        <row r="142">
          <cell r="C142" t="str">
            <v>Közlekedési költségtérítés</v>
          </cell>
          <cell r="D142">
            <v>5814</v>
          </cell>
        </row>
        <row r="143">
          <cell r="C143" t="str">
            <v>Reprezentáció</v>
          </cell>
          <cell r="D143">
            <v>18400</v>
          </cell>
        </row>
        <row r="144">
          <cell r="C144" t="str">
            <v>Reprezentáció</v>
          </cell>
          <cell r="D144">
            <v>36000</v>
          </cell>
        </row>
        <row r="145">
          <cell r="C145" t="str">
            <v>Reprezentáció</v>
          </cell>
          <cell r="D145">
            <v>31200</v>
          </cell>
        </row>
        <row r="146">
          <cell r="C146" t="str">
            <v>Reprezentáció</v>
          </cell>
          <cell r="D146">
            <v>2400</v>
          </cell>
        </row>
        <row r="147">
          <cell r="C147" t="str">
            <v>Reprezentáció</v>
          </cell>
          <cell r="D147">
            <v>6400</v>
          </cell>
        </row>
        <row r="148">
          <cell r="C148" t="str">
            <v>Reprezentáció</v>
          </cell>
          <cell r="D148">
            <v>19656</v>
          </cell>
        </row>
        <row r="149">
          <cell r="C149" t="str">
            <v>Reprezentáció</v>
          </cell>
          <cell r="D149">
            <v>31200</v>
          </cell>
        </row>
        <row r="150">
          <cell r="C150" t="str">
            <v>Reprezentáció</v>
          </cell>
          <cell r="D150">
            <v>38400</v>
          </cell>
        </row>
        <row r="151">
          <cell r="C151" t="str">
            <v>Alapilletmények</v>
          </cell>
          <cell r="D151">
            <v>793100</v>
          </cell>
        </row>
        <row r="152">
          <cell r="C152" t="str">
            <v>Nyelvpótlék</v>
          </cell>
          <cell r="D152">
            <v>10000</v>
          </cell>
        </row>
        <row r="153">
          <cell r="C153" t="str">
            <v>vezetői illetménypótlék</v>
          </cell>
          <cell r="D153">
            <v>50000</v>
          </cell>
        </row>
        <row r="154">
          <cell r="C154" t="str">
            <v>Társadalombiztosítási járulék</v>
          </cell>
          <cell r="D154">
            <v>180900</v>
          </cell>
        </row>
        <row r="155">
          <cell r="C155" t="str">
            <v>Munkaerőpiaci járulék</v>
          </cell>
          <cell r="D155">
            <v>14473</v>
          </cell>
        </row>
        <row r="156">
          <cell r="C156" t="str">
            <v>Startkártya járulékai</v>
          </cell>
          <cell r="D156">
            <v>12950</v>
          </cell>
        </row>
        <row r="157">
          <cell r="C157" t="str">
            <v>Munkáltató által fizetett személyi jövedelemadó</v>
          </cell>
          <cell r="D157">
            <v>1378</v>
          </cell>
        </row>
        <row r="158">
          <cell r="C158" t="str">
            <v>Egyéb anyagbeszerzés</v>
          </cell>
          <cell r="D158">
            <v>3409</v>
          </cell>
        </row>
        <row r="159">
          <cell r="C159" t="str">
            <v>Belföldi kiküldetés</v>
          </cell>
          <cell r="D159">
            <v>640</v>
          </cell>
        </row>
        <row r="160">
          <cell r="C160" t="str">
            <v>Könyv beszerzése</v>
          </cell>
          <cell r="D160">
            <v>2089</v>
          </cell>
        </row>
        <row r="161">
          <cell r="C161" t="str">
            <v>közbeszerzés - közzététel, értékelés</v>
          </cell>
          <cell r="D161">
            <v>56000</v>
          </cell>
        </row>
        <row r="162">
          <cell r="C162" t="str">
            <v>közbeszerzés - közzététel, értékelés</v>
          </cell>
          <cell r="D162">
            <v>56000</v>
          </cell>
        </row>
        <row r="163">
          <cell r="C163" t="str">
            <v>közbeszerzés - közzététel, értékelés</v>
          </cell>
          <cell r="D163">
            <v>56000</v>
          </cell>
        </row>
        <row r="164">
          <cell r="C164" t="str">
            <v>Reprezentáció</v>
          </cell>
          <cell r="D164">
            <v>32000</v>
          </cell>
        </row>
        <row r="165">
          <cell r="C165" t="str">
            <v>Reprezentáció</v>
          </cell>
          <cell r="D165">
            <v>2800</v>
          </cell>
        </row>
        <row r="166">
          <cell r="C166" t="str">
            <v>Reprezentáció</v>
          </cell>
          <cell r="D166">
            <v>2952</v>
          </cell>
        </row>
        <row r="167">
          <cell r="C167" t="str">
            <v>PR tevékenység</v>
          </cell>
          <cell r="D167">
            <v>363538</v>
          </cell>
        </row>
        <row r="168">
          <cell r="C168" t="str">
            <v>Pénzforgalmi jutalék</v>
          </cell>
          <cell r="D168">
            <v>3301</v>
          </cell>
        </row>
        <row r="169">
          <cell r="C169" t="str">
            <v>Reprezentáció</v>
          </cell>
          <cell r="D169">
            <v>50000</v>
          </cell>
        </row>
        <row r="170">
          <cell r="C170" t="str">
            <v>Pénzforgalmi jutalék</v>
          </cell>
          <cell r="D170">
            <v>1980</v>
          </cell>
        </row>
        <row r="171">
          <cell r="C171" t="str">
            <v>Hatósági engedélyek megszerzésével kapcsolatos költségek</v>
          </cell>
          <cell r="D171">
            <v>29700</v>
          </cell>
        </row>
        <row r="172">
          <cell r="C172" t="str">
            <v>Hatósági engedélyek megszerzésével kapcsolatos költségek</v>
          </cell>
          <cell r="D172">
            <v>750000</v>
          </cell>
        </row>
        <row r="173">
          <cell r="C173" t="str">
            <v>közbeszerzési dokumentáció elkészítésének költsége</v>
          </cell>
          <cell r="D173">
            <v>1500000</v>
          </cell>
        </row>
        <row r="174">
          <cell r="C174" t="str">
            <v>Egyéb dologi kiadások</v>
          </cell>
          <cell r="D174">
            <v>93000</v>
          </cell>
        </row>
        <row r="175">
          <cell r="C175" t="str">
            <v>Könyvvizsgálati díj</v>
          </cell>
          <cell r="D175">
            <v>170000</v>
          </cell>
        </row>
        <row r="176">
          <cell r="C176" t="str">
            <v>közbeszerzési dokumentáció elkészítésének költsége</v>
          </cell>
          <cell r="D176">
            <v>750000</v>
          </cell>
        </row>
        <row r="177">
          <cell r="C177" t="str">
            <v>Reprezentáció</v>
          </cell>
          <cell r="D177">
            <v>8795</v>
          </cell>
        </row>
        <row r="178">
          <cell r="C178" t="str">
            <v>Hatósági engedélyek megszerzésével kapcsolatos költségek</v>
          </cell>
          <cell r="D178">
            <v>8700</v>
          </cell>
        </row>
        <row r="179">
          <cell r="C179" t="str">
            <v>Közlekedési költségtérítés</v>
          </cell>
          <cell r="D179">
            <v>5510</v>
          </cell>
        </row>
        <row r="180">
          <cell r="C180" t="str">
            <v>Reprezentáció</v>
          </cell>
          <cell r="D180">
            <v>13230</v>
          </cell>
        </row>
        <row r="181">
          <cell r="C181" t="str">
            <v>Közlekedési költségtérítés</v>
          </cell>
          <cell r="D181">
            <v>7524</v>
          </cell>
        </row>
        <row r="182">
          <cell r="C182" t="str">
            <v>Reprezentáció</v>
          </cell>
          <cell r="D182">
            <v>2446</v>
          </cell>
        </row>
        <row r="183">
          <cell r="C183" t="str">
            <v>Reprezentáció</v>
          </cell>
          <cell r="D183">
            <v>112488</v>
          </cell>
        </row>
        <row r="184">
          <cell r="C184" t="str">
            <v>Alapilletmények</v>
          </cell>
          <cell r="D184">
            <v>793100</v>
          </cell>
        </row>
        <row r="185">
          <cell r="C185" t="str">
            <v>Nyelvpótlék</v>
          </cell>
          <cell r="D185">
            <v>10000</v>
          </cell>
        </row>
        <row r="186">
          <cell r="C186" t="str">
            <v>vezetői illetménypótlék</v>
          </cell>
          <cell r="D186">
            <v>50000</v>
          </cell>
        </row>
        <row r="187">
          <cell r="C187" t="str">
            <v>Keresetkiegészítések</v>
          </cell>
          <cell r="D187">
            <v>149700</v>
          </cell>
        </row>
        <row r="188">
          <cell r="C188" t="str">
            <v>Társadalombiztosítási járulék</v>
          </cell>
          <cell r="D188">
            <v>209575</v>
          </cell>
        </row>
        <row r="189">
          <cell r="C189" t="str">
            <v>Munkaerőpiaci járulék</v>
          </cell>
          <cell r="D189">
            <v>16767</v>
          </cell>
        </row>
        <row r="190">
          <cell r="C190" t="str">
            <v>Startkártya járulékai</v>
          </cell>
          <cell r="D190">
            <v>18410</v>
          </cell>
        </row>
        <row r="191">
          <cell r="C191" t="str">
            <v>Munkáltató által fizetett személyi jövedelemadó</v>
          </cell>
          <cell r="D191">
            <v>1378</v>
          </cell>
        </row>
        <row r="192">
          <cell r="C192" t="str">
            <v>Egyéb üzemeltetési, fenntartási szolgáltatási kiadások</v>
          </cell>
          <cell r="D192">
            <v>21000</v>
          </cell>
        </row>
        <row r="193">
          <cell r="C193" t="str">
            <v>Reprezentáció</v>
          </cell>
          <cell r="D193">
            <v>30704</v>
          </cell>
        </row>
        <row r="194">
          <cell r="C194" t="str">
            <v>Műszaki és Pénzügyi tanácsadás</v>
          </cell>
          <cell r="D194">
            <v>112500</v>
          </cell>
        </row>
        <row r="195">
          <cell r="C195" t="str">
            <v>Részletes Megvalósíthatósági Tanulmány</v>
          </cell>
          <cell r="D195">
            <v>1087200</v>
          </cell>
        </row>
        <row r="196">
          <cell r="C196" t="str">
            <v>cafeteria hozzájárulás</v>
          </cell>
          <cell r="D196">
            <v>120000</v>
          </cell>
        </row>
        <row r="197">
          <cell r="C197" t="str">
            <v>egyéd dologi kiadás</v>
          </cell>
          <cell r="D197">
            <v>7590</v>
          </cell>
        </row>
        <row r="198">
          <cell r="C198" t="str">
            <v>181/2010</v>
          </cell>
          <cell r="D198">
            <v>6000000</v>
          </cell>
        </row>
        <row r="199">
          <cell r="C199" t="str">
            <v>Alapilletmények</v>
          </cell>
          <cell r="D199">
            <v>793100</v>
          </cell>
        </row>
        <row r="200">
          <cell r="C200" t="str">
            <v>Nyelvpótlék</v>
          </cell>
          <cell r="D200">
            <v>10000</v>
          </cell>
        </row>
        <row r="201">
          <cell r="C201" t="str">
            <v>vezetői illetménypótlék</v>
          </cell>
          <cell r="D201">
            <v>50000</v>
          </cell>
        </row>
        <row r="202">
          <cell r="C202" t="str">
            <v>Keresetkiegészítések</v>
          </cell>
          <cell r="D202">
            <v>49900</v>
          </cell>
        </row>
        <row r="203">
          <cell r="C203" t="str">
            <v>Társadalombiztosítási járulék</v>
          </cell>
          <cell r="D203">
            <v>189000</v>
          </cell>
        </row>
        <row r="204">
          <cell r="C204" t="str">
            <v>Munkaerőpiaci járulék</v>
          </cell>
          <cell r="D204">
            <v>15121</v>
          </cell>
        </row>
        <row r="205">
          <cell r="C205" t="str">
            <v>Startkártya járulékai</v>
          </cell>
          <cell r="D205">
            <v>29400</v>
          </cell>
        </row>
        <row r="206">
          <cell r="C206" t="str">
            <v>Munkáltató által fizetett személyi jövedelemadó</v>
          </cell>
          <cell r="D206">
            <v>1378</v>
          </cell>
        </row>
        <row r="207">
          <cell r="C207" t="str">
            <v>Postai díjak</v>
          </cell>
          <cell r="D207">
            <v>11615</v>
          </cell>
        </row>
        <row r="208">
          <cell r="D208">
            <v>15000</v>
          </cell>
        </row>
        <row r="209">
          <cell r="C209" t="str">
            <v>LOT1 - Királyszentistván</v>
          </cell>
          <cell r="D209">
            <v>150928685</v>
          </cell>
        </row>
        <row r="210">
          <cell r="C210" t="str">
            <v>Pénzforgalmi jutalék</v>
          </cell>
          <cell r="D210">
            <v>80000</v>
          </cell>
        </row>
        <row r="211">
          <cell r="C211" t="str">
            <v>LOT2 - egyéb létesítmények</v>
          </cell>
          <cell r="D211">
            <v>67030748</v>
          </cell>
        </row>
        <row r="212">
          <cell r="C212" t="str">
            <v>Pénzforgalmi jutalék</v>
          </cell>
          <cell r="D212">
            <v>80000</v>
          </cell>
        </row>
        <row r="213">
          <cell r="C213" t="str">
            <v>Közlekedési költségtérítés</v>
          </cell>
          <cell r="D213">
            <v>5510</v>
          </cell>
        </row>
        <row r="214">
          <cell r="C214" t="str">
            <v>cafeteria hozzájárulás</v>
          </cell>
          <cell r="D214">
            <v>265500</v>
          </cell>
        </row>
        <row r="215">
          <cell r="C215" t="str">
            <v>Egyéb dologi kiadások</v>
          </cell>
          <cell r="D215">
            <v>14603</v>
          </cell>
        </row>
        <row r="216">
          <cell r="C216" t="str">
            <v>KEOP-El nem számolható költség</v>
          </cell>
          <cell r="D216">
            <v>6250</v>
          </cell>
        </row>
        <row r="217">
          <cell r="C217" t="str">
            <v>KEOP-El nem számolható költség</v>
          </cell>
          <cell r="D217">
            <v>3000</v>
          </cell>
        </row>
        <row r="218">
          <cell r="C218" t="str">
            <v>Könyvvizsgálati díj</v>
          </cell>
          <cell r="D218">
            <v>170000</v>
          </cell>
        </row>
        <row r="219">
          <cell r="C219" t="str">
            <v>Reprezentáció</v>
          </cell>
          <cell r="D219">
            <v>11000</v>
          </cell>
        </row>
        <row r="220">
          <cell r="C220" t="str">
            <v>Reprezentáció</v>
          </cell>
          <cell r="D220">
            <v>2500</v>
          </cell>
        </row>
        <row r="221">
          <cell r="C221" t="str">
            <v>KEOP-El nem számolható költség</v>
          </cell>
          <cell r="D221">
            <v>6250</v>
          </cell>
        </row>
        <row r="222">
          <cell r="C222" t="str">
            <v>Postai díjak</v>
          </cell>
          <cell r="D222">
            <v>28045</v>
          </cell>
        </row>
        <row r="223">
          <cell r="C223" t="str">
            <v>Belföldi kiküldetés</v>
          </cell>
          <cell r="D223">
            <v>2780</v>
          </cell>
        </row>
        <row r="224">
          <cell r="C224" t="str">
            <v>Reprezentáció</v>
          </cell>
          <cell r="D224">
            <v>1385</v>
          </cell>
        </row>
        <row r="225">
          <cell r="C225" t="str">
            <v>Közlekedési költségtérítés</v>
          </cell>
          <cell r="D225">
            <v>5130</v>
          </cell>
        </row>
        <row r="226">
          <cell r="C226" t="str">
            <v>Eszközbeszerzés költsége</v>
          </cell>
          <cell r="D226">
            <v>28361748.000000004</v>
          </cell>
        </row>
        <row r="227">
          <cell r="C227" t="str">
            <v>Pénzforgalmi jutalék</v>
          </cell>
          <cell r="D227">
            <v>76578</v>
          </cell>
        </row>
        <row r="228">
          <cell r="C228" t="str">
            <v>Felügyelő mérnök költsége</v>
          </cell>
          <cell r="D228">
            <v>216204.14229999998</v>
          </cell>
        </row>
        <row r="229">
          <cell r="C229" t="str">
            <v>Pénzforgalmi jutalék</v>
          </cell>
          <cell r="D229">
            <v>3301</v>
          </cell>
        </row>
        <row r="230">
          <cell r="C230" t="str">
            <v>Reprezentáció</v>
          </cell>
          <cell r="D230">
            <v>9000</v>
          </cell>
        </row>
        <row r="231">
          <cell r="C231" t="str">
            <v>Reprezentáció</v>
          </cell>
          <cell r="D231">
            <v>710</v>
          </cell>
        </row>
        <row r="232">
          <cell r="C232" t="str">
            <v>Reprezentáció</v>
          </cell>
          <cell r="D232">
            <v>25779</v>
          </cell>
        </row>
        <row r="233">
          <cell r="C233" t="str">
            <v>Könyvvizsgálati díj</v>
          </cell>
          <cell r="D233">
            <v>170000</v>
          </cell>
        </row>
        <row r="234">
          <cell r="C234" t="str">
            <v>Jogi szolgáltatás</v>
          </cell>
          <cell r="D234">
            <v>201600</v>
          </cell>
        </row>
        <row r="235">
          <cell r="C235" t="str">
            <v>Kisértékű tárgyi eszköz, szellemi termékek beszerzése</v>
          </cell>
          <cell r="D235">
            <v>113052</v>
          </cell>
        </row>
        <row r="236">
          <cell r="C236" t="str">
            <v>Belföldi kiküldetés</v>
          </cell>
          <cell r="D236">
            <v>5510</v>
          </cell>
        </row>
        <row r="237">
          <cell r="C237" t="str">
            <v>Reprezentáció</v>
          </cell>
          <cell r="D237">
            <v>1080</v>
          </cell>
        </row>
        <row r="238">
          <cell r="C238" t="str">
            <v>Belföldi kiküldetés</v>
          </cell>
          <cell r="D238">
            <v>4446</v>
          </cell>
        </row>
        <row r="239">
          <cell r="C239" t="str">
            <v>Reprezentáció</v>
          </cell>
          <cell r="D239">
            <v>996</v>
          </cell>
        </row>
        <row r="240">
          <cell r="C240" t="str">
            <v>Egyéb anyagbeszerzés</v>
          </cell>
          <cell r="D240">
            <v>22000</v>
          </cell>
        </row>
        <row r="241">
          <cell r="C241" t="str">
            <v>Reprezentáció</v>
          </cell>
          <cell r="D241">
            <v>25600</v>
          </cell>
        </row>
        <row r="242">
          <cell r="C242" t="str">
            <v>Reprezentáció</v>
          </cell>
          <cell r="D242">
            <v>2728</v>
          </cell>
        </row>
        <row r="243">
          <cell r="C243" t="str">
            <v>cafeteria hozzájárulás</v>
          </cell>
          <cell r="D243">
            <v>54000</v>
          </cell>
        </row>
        <row r="244">
          <cell r="C244" t="str">
            <v>Szállítási szolgáltatás díja</v>
          </cell>
          <cell r="D244">
            <v>5000</v>
          </cell>
        </row>
        <row r="245">
          <cell r="C245" t="str">
            <v>Eszközbeszerzés költsége</v>
          </cell>
          <cell r="D245">
            <v>8231675</v>
          </cell>
        </row>
        <row r="246">
          <cell r="C246" t="str">
            <v>Pénzforgalmi jutalék</v>
          </cell>
          <cell r="D246">
            <v>27783</v>
          </cell>
        </row>
        <row r="247">
          <cell r="D247">
            <v>1000000</v>
          </cell>
        </row>
        <row r="248">
          <cell r="C248" t="str">
            <v>Pénzforgalmi jutalék</v>
          </cell>
          <cell r="D248">
            <v>3792</v>
          </cell>
        </row>
        <row r="249">
          <cell r="C249" t="str">
            <v>Könyvvizsgálati díj</v>
          </cell>
          <cell r="D249">
            <v>170000</v>
          </cell>
        </row>
        <row r="250">
          <cell r="C250" t="str">
            <v>Eszközbeszerzés költsége</v>
          </cell>
          <cell r="D250">
            <v>11465191.5</v>
          </cell>
        </row>
        <row r="251">
          <cell r="C251" t="str">
            <v>Pénzforgalmi jutalék</v>
          </cell>
          <cell r="D251">
            <v>30956</v>
          </cell>
        </row>
        <row r="252">
          <cell r="C252" t="str">
            <v>Eszközbeszerzés költsége</v>
          </cell>
          <cell r="D252">
            <v>10449703.11</v>
          </cell>
        </row>
        <row r="253">
          <cell r="C253" t="str">
            <v>Pénzforgalmi jutalék</v>
          </cell>
          <cell r="D253">
            <v>28215</v>
          </cell>
        </row>
        <row r="254">
          <cell r="C254" t="str">
            <v>Reprezentáció</v>
          </cell>
          <cell r="D254">
            <v>5376</v>
          </cell>
        </row>
        <row r="255">
          <cell r="C255" t="str">
            <v>cafeteria hozzájárulás</v>
          </cell>
          <cell r="D255">
            <v>30000</v>
          </cell>
        </row>
        <row r="256">
          <cell r="C256" t="str">
            <v>egyéd dologi kiadás</v>
          </cell>
          <cell r="D256">
            <v>3990</v>
          </cell>
        </row>
        <row r="257">
          <cell r="C257" t="str">
            <v>egyéd dologi kiadás</v>
          </cell>
          <cell r="D257">
            <v>300000</v>
          </cell>
        </row>
        <row r="258">
          <cell r="C258" t="str">
            <v>Közlekedési költségtérítés</v>
          </cell>
          <cell r="D258">
            <v>5510</v>
          </cell>
        </row>
        <row r="259">
          <cell r="C259" t="str">
            <v>Közlekedési költségtérítés</v>
          </cell>
          <cell r="D259">
            <v>7524</v>
          </cell>
        </row>
        <row r="260">
          <cell r="C260" t="str">
            <v>KEOP-El nem számolható költség</v>
          </cell>
          <cell r="D260">
            <v>59000</v>
          </cell>
        </row>
        <row r="261">
          <cell r="C261" t="str">
            <v>KEOP-El nem számolható költség</v>
          </cell>
          <cell r="D261">
            <v>211000</v>
          </cell>
        </row>
        <row r="262">
          <cell r="C262" t="str">
            <v>KEOP-El nem számolható költség</v>
          </cell>
          <cell r="D262">
            <v>31000</v>
          </cell>
        </row>
        <row r="263">
          <cell r="C263" t="str">
            <v>KEOP-El nem számolható költség</v>
          </cell>
          <cell r="D263">
            <v>49500</v>
          </cell>
        </row>
        <row r="264">
          <cell r="C264" t="str">
            <v>KEOP-El nem számolható költség</v>
          </cell>
          <cell r="D264">
            <v>114750</v>
          </cell>
        </row>
        <row r="265">
          <cell r="C265" t="str">
            <v>Reprezentáció</v>
          </cell>
          <cell r="D265">
            <v>20592</v>
          </cell>
        </row>
        <row r="266">
          <cell r="C266" t="str">
            <v>Reprezentáció</v>
          </cell>
          <cell r="D266">
            <v>36560</v>
          </cell>
        </row>
        <row r="267">
          <cell r="C267" t="str">
            <v>Felügyelő mérnök költsége</v>
          </cell>
          <cell r="D267">
            <v>207996.86025</v>
          </cell>
        </row>
        <row r="268">
          <cell r="C268" t="str">
            <v>Pénzforgalmi jutalék</v>
          </cell>
          <cell r="D268">
            <v>3301</v>
          </cell>
        </row>
        <row r="269">
          <cell r="C269" t="str">
            <v>Felügyelő mérnök költsége</v>
          </cell>
          <cell r="D269">
            <v>107727.45749999999</v>
          </cell>
        </row>
        <row r="270">
          <cell r="C270" t="str">
            <v>Pénzforgalmi jutalék</v>
          </cell>
          <cell r="D270">
            <v>3301</v>
          </cell>
        </row>
        <row r="271">
          <cell r="C271" t="str">
            <v>PR tevékenység</v>
          </cell>
          <cell r="D271">
            <v>471680.5293</v>
          </cell>
        </row>
        <row r="272">
          <cell r="C272" t="str">
            <v>Pénzforgalmi jutalék</v>
          </cell>
          <cell r="D272">
            <v>3301</v>
          </cell>
        </row>
        <row r="273">
          <cell r="C273" t="str">
            <v>Felügyelő mérnök költsége</v>
          </cell>
          <cell r="D273">
            <v>161591.18625</v>
          </cell>
        </row>
        <row r="274">
          <cell r="C274" t="str">
            <v>Pénzforgalmi jutalék</v>
          </cell>
          <cell r="D274">
            <v>3301</v>
          </cell>
        </row>
        <row r="275">
          <cell r="C275" t="str">
            <v>Felügyelő mérnök költsége</v>
          </cell>
          <cell r="D275">
            <v>161591.18625</v>
          </cell>
        </row>
        <row r="276">
          <cell r="C276" t="str">
            <v>Pénzforgalmi jutalék</v>
          </cell>
          <cell r="D276">
            <v>3301</v>
          </cell>
        </row>
        <row r="277">
          <cell r="C277" t="str">
            <v>Kommunikációs szolgáltatás</v>
          </cell>
          <cell r="D277">
            <v>84960</v>
          </cell>
        </row>
        <row r="278">
          <cell r="C278" t="str">
            <v>Irodaszer, nyomtatvány beszerzése</v>
          </cell>
          <cell r="D278">
            <v>6300</v>
          </cell>
        </row>
        <row r="279">
          <cell r="D279">
            <v>2700</v>
          </cell>
        </row>
        <row r="280">
          <cell r="C280" t="str">
            <v>Könyvvizsgálati díj</v>
          </cell>
          <cell r="D280">
            <v>170000</v>
          </cell>
        </row>
        <row r="281">
          <cell r="C281" t="str">
            <v>Reprezentáció</v>
          </cell>
          <cell r="D281">
            <v>32012</v>
          </cell>
        </row>
        <row r="282">
          <cell r="C282" t="str">
            <v>Bérleti és lízingdíjak</v>
          </cell>
          <cell r="D282">
            <v>32000</v>
          </cell>
        </row>
        <row r="283">
          <cell r="C283" t="str">
            <v>Postai díjak</v>
          </cell>
          <cell r="D283">
            <v>3520</v>
          </cell>
        </row>
        <row r="284">
          <cell r="D284">
            <v>3000</v>
          </cell>
        </row>
        <row r="285">
          <cell r="D285">
            <v>25000</v>
          </cell>
        </row>
        <row r="286">
          <cell r="C286" t="str">
            <v>LOT1 - Királyszentistván</v>
          </cell>
          <cell r="D286">
            <v>45532629</v>
          </cell>
        </row>
        <row r="287">
          <cell r="C287" t="str">
            <v>Pénzforgalmi jutalék</v>
          </cell>
          <cell r="D287">
            <v>54460</v>
          </cell>
        </row>
        <row r="288">
          <cell r="C288" t="str">
            <v>LOT3 -hulladéksziget</v>
          </cell>
          <cell r="D288">
            <v>2617333</v>
          </cell>
        </row>
        <row r="289">
          <cell r="C289" t="str">
            <v>Pénzforgalmi jutalék</v>
          </cell>
          <cell r="D289">
            <v>3299</v>
          </cell>
        </row>
        <row r="290">
          <cell r="C290" t="str">
            <v>LOT2 - egyéb létesítmények</v>
          </cell>
          <cell r="D290">
            <v>21749539</v>
          </cell>
        </row>
        <row r="291">
          <cell r="C291" t="str">
            <v>Pénzforgalmi jutalék</v>
          </cell>
          <cell r="D291">
            <v>26098</v>
          </cell>
        </row>
        <row r="292">
          <cell r="C292" t="str">
            <v>cafeteria hozzájárulás</v>
          </cell>
          <cell r="D292">
            <v>36500</v>
          </cell>
        </row>
        <row r="293">
          <cell r="C293" t="str">
            <v>egyéd dologi kiadás</v>
          </cell>
          <cell r="D293">
            <v>4250</v>
          </cell>
        </row>
        <row r="294">
          <cell r="C294" t="str">
            <v>Kisértékű tárgyi eszköz, szellemi termékek beszerzése</v>
          </cell>
          <cell r="D294">
            <v>6598</v>
          </cell>
        </row>
        <row r="295">
          <cell r="C295" t="str">
            <v>Belföldi kiküldetés</v>
          </cell>
          <cell r="D295">
            <v>3900</v>
          </cell>
        </row>
        <row r="296">
          <cell r="C296" t="str">
            <v>Reprezentáció</v>
          </cell>
          <cell r="D296">
            <v>2376</v>
          </cell>
        </row>
        <row r="297">
          <cell r="C297" t="str">
            <v>Belföldi kiküldetés</v>
          </cell>
          <cell r="D297">
            <v>3442</v>
          </cell>
        </row>
        <row r="298">
          <cell r="C298" t="str">
            <v>Belföldi kiküldetés</v>
          </cell>
          <cell r="D298">
            <v>3442</v>
          </cell>
        </row>
        <row r="299">
          <cell r="C299" t="str">
            <v>Felügyelő mérnök költsége</v>
          </cell>
          <cell r="D299">
            <v>535894</v>
          </cell>
        </row>
        <row r="300">
          <cell r="C300" t="str">
            <v>Pénzforgalmi jutalék</v>
          </cell>
          <cell r="D300">
            <v>3301</v>
          </cell>
        </row>
        <row r="301">
          <cell r="C301" t="str">
            <v>Felügyelő mérnök költsége</v>
          </cell>
          <cell r="D301">
            <v>535894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="80" zoomScaleSheetLayoutView="80" zoomScalePageLayoutView="0" workbookViewId="0" topLeftCell="A1">
      <selection activeCell="D10" sqref="D10"/>
    </sheetView>
  </sheetViews>
  <sheetFormatPr defaultColWidth="9.00390625" defaultRowHeight="12.75"/>
  <cols>
    <col min="1" max="1" width="3.75390625" style="10" customWidth="1"/>
    <col min="2" max="5" width="5.75390625" style="276" customWidth="1"/>
    <col min="6" max="6" width="55.75390625" style="277" customWidth="1"/>
    <col min="7" max="9" width="12.75390625" style="278" customWidth="1"/>
    <col min="10" max="10" width="15.75390625" style="339" customWidth="1"/>
    <col min="11" max="11" width="9.125" style="278" customWidth="1"/>
    <col min="12" max="16384" width="9.125" style="277" customWidth="1"/>
  </cols>
  <sheetData>
    <row r="1" spans="2:10" ht="16.5">
      <c r="B1" s="670" t="s">
        <v>320</v>
      </c>
      <c r="C1" s="670"/>
      <c r="D1" s="670"/>
      <c r="E1" s="670"/>
      <c r="F1" s="670"/>
      <c r="G1" s="670"/>
      <c r="H1" s="670"/>
      <c r="I1" s="670"/>
      <c r="J1" s="670"/>
    </row>
    <row r="2" spans="1:11" s="279" customFormat="1" ht="17.25">
      <c r="A2" s="10"/>
      <c r="B2" s="671" t="s">
        <v>227</v>
      </c>
      <c r="C2" s="671"/>
      <c r="D2" s="671"/>
      <c r="E2" s="671"/>
      <c r="F2" s="671"/>
      <c r="G2" s="671"/>
      <c r="H2" s="671"/>
      <c r="I2" s="671"/>
      <c r="J2" s="671"/>
      <c r="K2" s="280"/>
    </row>
    <row r="3" spans="1:11" s="279" customFormat="1" ht="17.25">
      <c r="A3" s="10"/>
      <c r="B3" s="672" t="s">
        <v>193</v>
      </c>
      <c r="C3" s="672"/>
      <c r="D3" s="672"/>
      <c r="E3" s="672"/>
      <c r="F3" s="672"/>
      <c r="G3" s="672"/>
      <c r="H3" s="672"/>
      <c r="I3" s="672"/>
      <c r="J3" s="672"/>
      <c r="K3" s="280"/>
    </row>
    <row r="4" spans="2:10" ht="16.5">
      <c r="B4" s="281"/>
      <c r="C4" s="281"/>
      <c r="D4" s="281"/>
      <c r="E4" s="281"/>
      <c r="F4" s="281"/>
      <c r="G4" s="282"/>
      <c r="H4" s="282"/>
      <c r="I4" s="669" t="s">
        <v>147</v>
      </c>
      <c r="J4" s="669"/>
    </row>
    <row r="5" spans="2:10" ht="17.25" thickBot="1">
      <c r="B5" s="283" t="s">
        <v>154</v>
      </c>
      <c r="C5" s="283" t="s">
        <v>155</v>
      </c>
      <c r="D5" s="283" t="s">
        <v>156</v>
      </c>
      <c r="E5" s="283" t="s">
        <v>157</v>
      </c>
      <c r="F5" s="283" t="s">
        <v>158</v>
      </c>
      <c r="G5" s="284" t="s">
        <v>159</v>
      </c>
      <c r="H5" s="284" t="s">
        <v>160</v>
      </c>
      <c r="I5" s="284" t="s">
        <v>122</v>
      </c>
      <c r="J5" s="285" t="s">
        <v>123</v>
      </c>
    </row>
    <row r="6" spans="1:24" s="288" customFormat="1" ht="57.75" thickBot="1">
      <c r="A6" s="3"/>
      <c r="B6" s="390" t="s">
        <v>210</v>
      </c>
      <c r="C6" s="391" t="s">
        <v>198</v>
      </c>
      <c r="D6" s="257" t="s">
        <v>124</v>
      </c>
      <c r="E6" s="257" t="s">
        <v>125</v>
      </c>
      <c r="F6" s="392" t="s">
        <v>148</v>
      </c>
      <c r="G6" s="257" t="s">
        <v>119</v>
      </c>
      <c r="H6" s="257" t="s">
        <v>196</v>
      </c>
      <c r="I6" s="257" t="s">
        <v>197</v>
      </c>
      <c r="J6" s="393" t="s">
        <v>161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</row>
    <row r="7" spans="1:24" s="294" customFormat="1" ht="15.75" customHeight="1">
      <c r="A7" s="3"/>
      <c r="B7" s="289"/>
      <c r="C7" s="290"/>
      <c r="D7" s="381">
        <v>1</v>
      </c>
      <c r="E7" s="381"/>
      <c r="F7" s="291" t="s">
        <v>113</v>
      </c>
      <c r="G7" s="292">
        <f>G8+G12+G13+G14</f>
        <v>61637</v>
      </c>
      <c r="H7" s="292">
        <f>H8+H12+H13+H14</f>
        <v>235140</v>
      </c>
      <c r="I7" s="292">
        <f>I8+I12+I13+I14</f>
        <v>468121</v>
      </c>
      <c r="J7" s="292">
        <f>J8+J12+J13+J14</f>
        <v>186627.5940220583</v>
      </c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</row>
    <row r="8" spans="1:24" s="294" customFormat="1" ht="17.25">
      <c r="A8" s="3"/>
      <c r="B8" s="295"/>
      <c r="C8" s="296"/>
      <c r="D8" s="382"/>
      <c r="E8" s="382">
        <v>1</v>
      </c>
      <c r="F8" s="297" t="s">
        <v>120</v>
      </c>
      <c r="G8" s="298">
        <v>0</v>
      </c>
      <c r="H8" s="298">
        <v>0</v>
      </c>
      <c r="I8" s="298">
        <v>0</v>
      </c>
      <c r="J8" s="298">
        <v>0</v>
      </c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</row>
    <row r="9" spans="1:11" s="304" customFormat="1" ht="17.25">
      <c r="A9" s="3"/>
      <c r="B9" s="299"/>
      <c r="C9" s="300"/>
      <c r="D9" s="281"/>
      <c r="E9" s="281"/>
      <c r="F9" s="379" t="s">
        <v>11</v>
      </c>
      <c r="G9" s="302"/>
      <c r="H9" s="302"/>
      <c r="I9" s="302"/>
      <c r="J9" s="389"/>
      <c r="K9" s="305"/>
    </row>
    <row r="10" spans="1:11" s="304" customFormat="1" ht="34.5">
      <c r="A10" s="3"/>
      <c r="B10" s="299"/>
      <c r="C10" s="311"/>
      <c r="D10" s="306"/>
      <c r="E10" s="306"/>
      <c r="F10" s="380" t="s">
        <v>8</v>
      </c>
      <c r="G10" s="76"/>
      <c r="H10" s="76"/>
      <c r="I10" s="76"/>
      <c r="J10" s="303"/>
      <c r="K10" s="305"/>
    </row>
    <row r="11" spans="1:11" s="304" customFormat="1" ht="17.25">
      <c r="A11" s="3"/>
      <c r="B11" s="299"/>
      <c r="C11" s="311"/>
      <c r="D11" s="306"/>
      <c r="E11" s="306"/>
      <c r="F11" s="380" t="s">
        <v>9</v>
      </c>
      <c r="G11" s="302"/>
      <c r="H11" s="302"/>
      <c r="I11" s="302"/>
      <c r="J11" s="303"/>
      <c r="K11" s="305"/>
    </row>
    <row r="12" spans="1:11" s="304" customFormat="1" ht="17.25">
      <c r="A12" s="3"/>
      <c r="B12" s="299"/>
      <c r="C12" s="300"/>
      <c r="D12" s="281"/>
      <c r="E12" s="281">
        <v>2</v>
      </c>
      <c r="F12" s="301" t="s">
        <v>126</v>
      </c>
      <c r="G12" s="302">
        <v>0</v>
      </c>
      <c r="H12" s="302">
        <v>0</v>
      </c>
      <c r="I12" s="302">
        <v>0</v>
      </c>
      <c r="J12" s="389">
        <v>0</v>
      </c>
      <c r="K12" s="305"/>
    </row>
    <row r="13" spans="1:11" s="304" customFormat="1" ht="17.25">
      <c r="A13" s="3"/>
      <c r="B13" s="299"/>
      <c r="C13" s="300"/>
      <c r="D13" s="281"/>
      <c r="E13" s="281">
        <v>3</v>
      </c>
      <c r="F13" s="301" t="s">
        <v>165</v>
      </c>
      <c r="G13" s="302">
        <v>61637</v>
      </c>
      <c r="H13" s="302">
        <f>235140</f>
        <v>235140</v>
      </c>
      <c r="I13" s="302">
        <f>468071</f>
        <v>468071</v>
      </c>
      <c r="J13" s="302">
        <f>'8. Mérleg'!C10</f>
        <v>186627.5940220583</v>
      </c>
      <c r="K13" s="305"/>
    </row>
    <row r="14" spans="1:11" s="304" customFormat="1" ht="17.25">
      <c r="A14" s="3"/>
      <c r="B14" s="299"/>
      <c r="C14" s="300"/>
      <c r="D14" s="281"/>
      <c r="E14" s="281">
        <v>4</v>
      </c>
      <c r="F14" s="301" t="s">
        <v>168</v>
      </c>
      <c r="G14" s="302">
        <v>0</v>
      </c>
      <c r="H14" s="302">
        <v>0</v>
      </c>
      <c r="I14" s="302">
        <v>50</v>
      </c>
      <c r="J14" s="303">
        <v>0</v>
      </c>
      <c r="K14" s="305"/>
    </row>
    <row r="15" spans="1:10" ht="16.5">
      <c r="A15" s="3"/>
      <c r="B15" s="308"/>
      <c r="C15" s="281"/>
      <c r="D15" s="281"/>
      <c r="E15" s="312"/>
      <c r="F15" s="309"/>
      <c r="G15" s="310"/>
      <c r="H15" s="310"/>
      <c r="I15" s="310"/>
      <c r="J15" s="307"/>
    </row>
    <row r="16" spans="1:24" s="294" customFormat="1" ht="15.75" customHeight="1">
      <c r="A16" s="3"/>
      <c r="B16" s="313"/>
      <c r="C16" s="314"/>
      <c r="D16" s="383">
        <v>2</v>
      </c>
      <c r="E16" s="383"/>
      <c r="F16" s="315" t="s">
        <v>10</v>
      </c>
      <c r="G16" s="316">
        <f>SUM(G17:G19)</f>
        <v>696695</v>
      </c>
      <c r="H16" s="316">
        <f>SUM(H17:H19)</f>
        <v>7347836</v>
      </c>
      <c r="I16" s="316">
        <f>SUM(I17:I19)-1</f>
        <v>5334445</v>
      </c>
      <c r="J16" s="316">
        <f>SUM(J17:J19)</f>
        <v>5457729.19194</v>
      </c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</row>
    <row r="17" spans="1:11" s="304" customFormat="1" ht="17.25">
      <c r="A17" s="3"/>
      <c r="B17" s="299"/>
      <c r="C17" s="300"/>
      <c r="D17" s="281"/>
      <c r="E17" s="382">
        <v>1</v>
      </c>
      <c r="F17" s="297" t="s">
        <v>121</v>
      </c>
      <c r="G17" s="302">
        <v>436738</v>
      </c>
      <c r="H17" s="302">
        <v>5858802</v>
      </c>
      <c r="I17" s="302">
        <v>4470872</v>
      </c>
      <c r="J17" s="389">
        <f>'8. Mérleg'!C12</f>
        <v>4496110.9895</v>
      </c>
      <c r="K17" s="305"/>
    </row>
    <row r="18" spans="1:11" s="304" customFormat="1" ht="17.25">
      <c r="A18" s="3"/>
      <c r="B18" s="299"/>
      <c r="C18" s="300"/>
      <c r="D18" s="281"/>
      <c r="E18" s="281">
        <v>2</v>
      </c>
      <c r="F18" s="301" t="s">
        <v>167</v>
      </c>
      <c r="G18" s="302">
        <v>259957</v>
      </c>
      <c r="H18" s="302">
        <f>1482724</f>
        <v>1482724</v>
      </c>
      <c r="I18" s="302">
        <v>861875</v>
      </c>
      <c r="J18" s="389">
        <f>'8. Mérleg'!C13</f>
        <v>957056.3374400001</v>
      </c>
      <c r="K18" s="305"/>
    </row>
    <row r="19" spans="1:11" s="304" customFormat="1" ht="17.25">
      <c r="A19" s="3"/>
      <c r="B19" s="299"/>
      <c r="C19" s="300"/>
      <c r="D19" s="281"/>
      <c r="E19" s="281">
        <v>3</v>
      </c>
      <c r="F19" s="301" t="s">
        <v>169</v>
      </c>
      <c r="G19" s="302"/>
      <c r="H19" s="302">
        <v>6310</v>
      </c>
      <c r="I19" s="302">
        <v>1699</v>
      </c>
      <c r="J19" s="389">
        <f>'8. Mérleg'!C14</f>
        <v>4561.865</v>
      </c>
      <c r="K19" s="305"/>
    </row>
    <row r="20" spans="1:11" s="304" customFormat="1" ht="18" thickBot="1">
      <c r="A20" s="3"/>
      <c r="B20" s="322"/>
      <c r="C20" s="323"/>
      <c r="D20" s="385"/>
      <c r="E20" s="385"/>
      <c r="F20" s="324" t="s">
        <v>170</v>
      </c>
      <c r="G20" s="325">
        <f>G16+G7</f>
        <v>758332</v>
      </c>
      <c r="H20" s="325">
        <f>H16+H7</f>
        <v>7582976</v>
      </c>
      <c r="I20" s="325">
        <f>I16+I7</f>
        <v>5802566</v>
      </c>
      <c r="J20" s="325">
        <f>J16+J7</f>
        <v>5644356.785962058</v>
      </c>
      <c r="K20" s="305"/>
    </row>
    <row r="21" spans="1:11" s="304" customFormat="1" ht="36" customHeight="1" thickBot="1" thickTop="1">
      <c r="A21" s="3"/>
      <c r="B21" s="326"/>
      <c r="C21" s="327"/>
      <c r="D21" s="386"/>
      <c r="E21" s="386"/>
      <c r="F21" s="328" t="s">
        <v>171</v>
      </c>
      <c r="G21" s="329">
        <v>228376</v>
      </c>
      <c r="H21" s="329">
        <v>0</v>
      </c>
      <c r="I21" s="329">
        <v>0</v>
      </c>
      <c r="J21" s="329"/>
      <c r="K21" s="305"/>
    </row>
    <row r="22" spans="1:11" s="304" customFormat="1" ht="17.25">
      <c r="A22" s="3"/>
      <c r="B22" s="299"/>
      <c r="C22" s="300"/>
      <c r="D22" s="281"/>
      <c r="E22" s="281"/>
      <c r="F22" s="301" t="s">
        <v>172</v>
      </c>
      <c r="G22" s="302"/>
      <c r="H22" s="302"/>
      <c r="I22" s="302"/>
      <c r="J22" s="303"/>
      <c r="K22" s="305"/>
    </row>
    <row r="23" spans="1:11" s="304" customFormat="1" ht="17.25">
      <c r="A23" s="3"/>
      <c r="B23" s="320"/>
      <c r="C23" s="317"/>
      <c r="D23" s="384"/>
      <c r="E23" s="384"/>
      <c r="F23" s="321" t="s">
        <v>12</v>
      </c>
      <c r="G23" s="318"/>
      <c r="H23" s="318"/>
      <c r="I23" s="318"/>
      <c r="J23" s="319"/>
      <c r="K23" s="305"/>
    </row>
    <row r="24" spans="1:11" s="304" customFormat="1" ht="17.25">
      <c r="A24" s="3"/>
      <c r="B24" s="299"/>
      <c r="C24" s="300"/>
      <c r="D24" s="281"/>
      <c r="E24" s="281"/>
      <c r="F24" s="301" t="s">
        <v>173</v>
      </c>
      <c r="G24" s="302"/>
      <c r="H24" s="302"/>
      <c r="I24" s="302"/>
      <c r="J24" s="303"/>
      <c r="K24" s="305"/>
    </row>
    <row r="25" spans="1:11" s="304" customFormat="1" ht="17.25">
      <c r="A25" s="3"/>
      <c r="B25" s="299"/>
      <c r="C25" s="300"/>
      <c r="D25" s="281"/>
      <c r="E25" s="281"/>
      <c r="F25" s="301" t="s">
        <v>174</v>
      </c>
      <c r="G25" s="302">
        <v>177749</v>
      </c>
      <c r="H25" s="302">
        <v>177749</v>
      </c>
      <c r="I25" s="302">
        <f>174395</f>
        <v>174395</v>
      </c>
      <c r="J25" s="303">
        <f>'8. Mérleg'!C23</f>
        <v>27339</v>
      </c>
      <c r="K25" s="305"/>
    </row>
    <row r="26" spans="1:11" s="304" customFormat="1" ht="17.25">
      <c r="A26" s="3"/>
      <c r="B26" s="320"/>
      <c r="C26" s="317"/>
      <c r="D26" s="384"/>
      <c r="E26" s="384"/>
      <c r="F26" s="321" t="s">
        <v>13</v>
      </c>
      <c r="G26" s="318"/>
      <c r="H26" s="318"/>
      <c r="I26" s="318"/>
      <c r="J26" s="319"/>
      <c r="K26" s="305"/>
    </row>
    <row r="27" spans="1:11" s="304" customFormat="1" ht="17.25">
      <c r="A27" s="3"/>
      <c r="B27" s="299"/>
      <c r="C27" s="300"/>
      <c r="D27" s="281"/>
      <c r="E27" s="281"/>
      <c r="F27" s="330" t="s">
        <v>14</v>
      </c>
      <c r="G27" s="302"/>
      <c r="H27" s="302"/>
      <c r="I27" s="302"/>
      <c r="J27" s="303"/>
      <c r="K27" s="305"/>
    </row>
    <row r="28" spans="1:11" s="304" customFormat="1" ht="17.25">
      <c r="A28" s="3"/>
      <c r="B28" s="299"/>
      <c r="C28" s="300"/>
      <c r="D28" s="281"/>
      <c r="E28" s="281"/>
      <c r="F28" s="330" t="s">
        <v>175</v>
      </c>
      <c r="G28" s="302"/>
      <c r="H28" s="302"/>
      <c r="I28" s="302"/>
      <c r="J28" s="303"/>
      <c r="K28" s="305"/>
    </row>
    <row r="29" spans="1:11" s="304" customFormat="1" ht="17.25">
      <c r="A29" s="3"/>
      <c r="B29" s="331"/>
      <c r="C29" s="332"/>
      <c r="D29" s="387"/>
      <c r="E29" s="387"/>
      <c r="F29" s="301" t="s">
        <v>176</v>
      </c>
      <c r="G29" s="302">
        <v>-307</v>
      </c>
      <c r="H29" s="302"/>
      <c r="I29" s="302">
        <v>-2831</v>
      </c>
      <c r="J29" s="303"/>
      <c r="K29" s="305"/>
    </row>
    <row r="30" spans="1:11" s="337" customFormat="1" ht="18" thickBot="1">
      <c r="A30" s="3"/>
      <c r="B30" s="333"/>
      <c r="C30" s="334"/>
      <c r="D30" s="388"/>
      <c r="E30" s="388"/>
      <c r="F30" s="335" t="s">
        <v>177</v>
      </c>
      <c r="G30" s="336">
        <f>G20-G29+G21+G25</f>
        <v>1164764</v>
      </c>
      <c r="H30" s="336">
        <f>H20-H29+H21+H25</f>
        <v>7760725</v>
      </c>
      <c r="I30" s="336">
        <f>I20-I29+I21+I25</f>
        <v>5979792</v>
      </c>
      <c r="J30" s="336">
        <f>J20-J29+J21+J25</f>
        <v>5671695.785962058</v>
      </c>
      <c r="K30" s="338"/>
    </row>
  </sheetData>
  <sheetProtection/>
  <mergeCells count="4">
    <mergeCell ref="I4:J4"/>
    <mergeCell ref="B1:J1"/>
    <mergeCell ref="B2:J2"/>
    <mergeCell ref="B3:J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4" r:id="rId1"/>
  <rowBreaks count="1" manualBreakCount="1">
    <brk id="1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65">
      <selection activeCell="H73" sqref="H73"/>
    </sheetView>
  </sheetViews>
  <sheetFormatPr defaultColWidth="9.00390625" defaultRowHeight="12.75"/>
  <cols>
    <col min="1" max="1" width="4.375" style="424" customWidth="1"/>
    <col min="2" max="2" width="5.375" style="424" customWidth="1"/>
    <col min="3" max="3" width="4.125" style="424" customWidth="1"/>
    <col min="4" max="4" width="5.75390625" style="424" customWidth="1"/>
    <col min="5" max="5" width="29.875" style="424" customWidth="1"/>
    <col min="6" max="6" width="11.25390625" style="425" customWidth="1"/>
    <col min="7" max="7" width="14.75390625" style="424" customWidth="1"/>
    <col min="8" max="8" width="17.625" style="424" customWidth="1"/>
    <col min="9" max="9" width="14.75390625" style="424" customWidth="1"/>
    <col min="10" max="10" width="13.125" style="424" bestFit="1" customWidth="1"/>
    <col min="11" max="16384" width="9.125" style="424" customWidth="1"/>
  </cols>
  <sheetData>
    <row r="1" spans="1:10" ht="12.75">
      <c r="A1" s="424" t="s">
        <v>237</v>
      </c>
      <c r="I1" s="426"/>
      <c r="J1" s="426" t="s">
        <v>238</v>
      </c>
    </row>
    <row r="2" spans="1:10" ht="12.75">
      <c r="A2" s="424" t="s">
        <v>325</v>
      </c>
      <c r="I2" s="426"/>
      <c r="J2" s="426"/>
    </row>
    <row r="3" ht="12.75">
      <c r="E3" s="427" t="s">
        <v>239</v>
      </c>
    </row>
    <row r="4" ht="12.75">
      <c r="E4" s="427" t="s">
        <v>240</v>
      </c>
    </row>
    <row r="5" ht="13.5" thickBot="1"/>
    <row r="6" spans="1:9" ht="15" customHeight="1" thickTop="1">
      <c r="A6" s="743" t="s">
        <v>241</v>
      </c>
      <c r="B6" s="744"/>
      <c r="C6" s="744"/>
      <c r="D6" s="744"/>
      <c r="E6" s="744"/>
      <c r="F6" s="744"/>
      <c r="G6" s="428"/>
      <c r="H6" s="428"/>
      <c r="I6" s="429" t="s">
        <v>242</v>
      </c>
    </row>
    <row r="7" spans="1:9" ht="12.75">
      <c r="A7" s="745"/>
      <c r="B7" s="746"/>
      <c r="C7" s="746"/>
      <c r="D7" s="746"/>
      <c r="E7" s="746"/>
      <c r="F7" s="746"/>
      <c r="G7" s="430"/>
      <c r="H7" s="430"/>
      <c r="I7" s="431">
        <f>I56+I9+I64</f>
        <v>5671695.785962059</v>
      </c>
    </row>
    <row r="8" spans="1:9" ht="12.75">
      <c r="A8" s="432"/>
      <c r="B8" s="433"/>
      <c r="C8" s="433"/>
      <c r="D8" s="433"/>
      <c r="E8" s="433"/>
      <c r="F8" s="434"/>
      <c r="G8" s="433"/>
      <c r="H8" s="433"/>
      <c r="I8" s="435"/>
    </row>
    <row r="9" spans="1:9" ht="12.75">
      <c r="A9" s="432"/>
      <c r="B9" s="436" t="s">
        <v>243</v>
      </c>
      <c r="C9" s="430"/>
      <c r="D9" s="430"/>
      <c r="E9" s="430"/>
      <c r="F9" s="437"/>
      <c r="G9" s="430"/>
      <c r="H9" s="430"/>
      <c r="I9" s="431">
        <f>H10+H33+H39+H47+I50</f>
        <v>5485068.19194</v>
      </c>
    </row>
    <row r="10" spans="1:9" ht="12.75">
      <c r="A10" s="432"/>
      <c r="B10" s="438" t="s">
        <v>244</v>
      </c>
      <c r="C10" s="439"/>
      <c r="D10" s="439"/>
      <c r="E10" s="439"/>
      <c r="F10" s="440"/>
      <c r="G10" s="439"/>
      <c r="H10" s="438">
        <f>H11+H20+H29+H24+G30+H15</f>
        <v>117184.77535</v>
      </c>
      <c r="I10" s="441"/>
    </row>
    <row r="11" spans="1:9" ht="13.5">
      <c r="A11" s="432"/>
      <c r="B11" s="442"/>
      <c r="C11" s="443" t="s">
        <v>234</v>
      </c>
      <c r="D11" s="444"/>
      <c r="E11" s="444"/>
      <c r="F11" s="434"/>
      <c r="G11" s="433"/>
      <c r="H11" s="443">
        <f>I76</f>
        <v>71632.875</v>
      </c>
      <c r="I11" s="445"/>
    </row>
    <row r="12" spans="1:9" ht="12.75">
      <c r="A12" s="432"/>
      <c r="B12" s="446"/>
      <c r="C12" s="447" t="s">
        <v>245</v>
      </c>
      <c r="D12" s="448"/>
      <c r="E12" s="448"/>
      <c r="F12" s="449"/>
      <c r="G12" s="448"/>
      <c r="H12" s="450">
        <f>H11-H13</f>
        <v>71632.875</v>
      </c>
      <c r="I12" s="445"/>
    </row>
    <row r="13" spans="1:9" ht="12.75">
      <c r="A13" s="432"/>
      <c r="B13" s="446"/>
      <c r="C13" s="451" t="s">
        <v>246</v>
      </c>
      <c r="D13" s="451"/>
      <c r="E13" s="451"/>
      <c r="F13" s="452"/>
      <c r="G13" s="451"/>
      <c r="H13" s="451">
        <v>0</v>
      </c>
      <c r="I13" s="445"/>
    </row>
    <row r="14" spans="1:9" s="460" customFormat="1" ht="12.75">
      <c r="A14" s="453"/>
      <c r="B14" s="454"/>
      <c r="C14" s="455"/>
      <c r="D14" s="456"/>
      <c r="E14" s="457"/>
      <c r="F14" s="458"/>
      <c r="G14" s="458"/>
      <c r="H14" s="458"/>
      <c r="I14" s="459"/>
    </row>
    <row r="15" spans="1:9" s="460" customFormat="1" ht="12.75">
      <c r="A15" s="453"/>
      <c r="B15" s="454"/>
      <c r="C15" s="455" t="s">
        <v>247</v>
      </c>
      <c r="D15" s="456"/>
      <c r="E15" s="457"/>
      <c r="F15" s="458"/>
      <c r="G15" s="458"/>
      <c r="H15" s="458">
        <f>I83</f>
        <v>36716.277</v>
      </c>
      <c r="I15" s="459"/>
    </row>
    <row r="16" spans="1:9" ht="12.75">
      <c r="A16" s="432"/>
      <c r="B16" s="446"/>
      <c r="C16" s="451" t="s">
        <v>246</v>
      </c>
      <c r="D16" s="451"/>
      <c r="E16" s="451"/>
      <c r="F16" s="452"/>
      <c r="G16" s="451"/>
      <c r="H16" s="451">
        <f>27309+30</f>
        <v>27339</v>
      </c>
      <c r="I16" s="445"/>
    </row>
    <row r="17" spans="1:9" ht="12.75">
      <c r="A17" s="432"/>
      <c r="B17" s="446"/>
      <c r="C17" s="451" t="s">
        <v>248</v>
      </c>
      <c r="D17" s="451"/>
      <c r="E17" s="451"/>
      <c r="F17" s="452"/>
      <c r="G17" s="451"/>
      <c r="H17" s="451">
        <f>'[1]Beruházás (2)'!B52/1000</f>
        <v>4561.865</v>
      </c>
      <c r="I17" s="445"/>
    </row>
    <row r="18" spans="1:9" ht="12.75">
      <c r="A18" s="432"/>
      <c r="B18" s="446"/>
      <c r="C18" s="447" t="s">
        <v>245</v>
      </c>
      <c r="D18" s="448"/>
      <c r="E18" s="448"/>
      <c r="F18" s="449"/>
      <c r="G18" s="448"/>
      <c r="H18" s="450">
        <f>H15-H16-H17</f>
        <v>4815.412000000002</v>
      </c>
      <c r="I18" s="445"/>
    </row>
    <row r="19" spans="1:9" s="460" customFormat="1" ht="12.75">
      <c r="A19" s="453"/>
      <c r="B19" s="446"/>
      <c r="C19" s="461"/>
      <c r="D19" s="458"/>
      <c r="E19" s="458"/>
      <c r="F19" s="461"/>
      <c r="G19" s="458"/>
      <c r="H19" s="458"/>
      <c r="I19" s="459"/>
    </row>
    <row r="20" spans="1:9" s="466" customFormat="1" ht="12.75">
      <c r="A20" s="462"/>
      <c r="B20" s="463" t="s">
        <v>249</v>
      </c>
      <c r="C20" s="464"/>
      <c r="D20" s="455"/>
      <c r="E20" s="455"/>
      <c r="F20" s="464"/>
      <c r="G20" s="455"/>
      <c r="H20" s="455">
        <f>I87</f>
        <v>1079.5</v>
      </c>
      <c r="I20" s="465"/>
    </row>
    <row r="21" spans="1:9" ht="12.75">
      <c r="A21" s="432"/>
      <c r="B21" s="442"/>
      <c r="C21" s="433"/>
      <c r="D21" s="433"/>
      <c r="E21" s="433" t="s">
        <v>250</v>
      </c>
      <c r="F21" s="434"/>
      <c r="G21" s="467">
        <f>H87</f>
        <v>229.50000000000003</v>
      </c>
      <c r="H21" s="433"/>
      <c r="I21" s="435"/>
    </row>
    <row r="22" spans="1:9" ht="12.75">
      <c r="A22" s="432"/>
      <c r="B22" s="747" t="s">
        <v>251</v>
      </c>
      <c r="C22" s="747"/>
      <c r="D22" s="747"/>
      <c r="E22" s="747"/>
      <c r="F22" s="468"/>
      <c r="G22" s="469"/>
      <c r="H22" s="469">
        <f>H20-G21</f>
        <v>850</v>
      </c>
      <c r="I22" s="435"/>
    </row>
    <row r="23" spans="1:9" s="460" customFormat="1" ht="12.75">
      <c r="A23" s="453"/>
      <c r="B23" s="470"/>
      <c r="C23" s="470"/>
      <c r="D23" s="470"/>
      <c r="E23" s="470"/>
      <c r="F23" s="471"/>
      <c r="G23" s="458"/>
      <c r="H23" s="458"/>
      <c r="I23" s="459"/>
    </row>
    <row r="24" spans="1:9" s="460" customFormat="1" ht="14.25" customHeight="1">
      <c r="A24" s="748" t="str">
        <f>C85</f>
        <v>Válogató és átrakó létesítmények beruházásai</v>
      </c>
      <c r="B24" s="749"/>
      <c r="C24" s="749"/>
      <c r="D24" s="749"/>
      <c r="E24" s="749"/>
      <c r="F24" s="471"/>
      <c r="G24" s="458"/>
      <c r="H24" s="458">
        <f>I85</f>
        <v>3601.53585</v>
      </c>
      <c r="I24" s="459"/>
    </row>
    <row r="25" spans="1:9" ht="12.75">
      <c r="A25" s="432"/>
      <c r="B25" s="442"/>
      <c r="C25" s="433"/>
      <c r="D25" s="433"/>
      <c r="E25" s="433" t="s">
        <v>250</v>
      </c>
      <c r="F25" s="434"/>
      <c r="G25" s="467">
        <f>H85</f>
        <v>765.6808500000001</v>
      </c>
      <c r="H25" s="433"/>
      <c r="I25" s="435"/>
    </row>
    <row r="26" spans="1:9" ht="12.75">
      <c r="A26" s="432"/>
      <c r="B26" s="446"/>
      <c r="C26" s="447" t="s">
        <v>245</v>
      </c>
      <c r="D26" s="448"/>
      <c r="E26" s="448"/>
      <c r="F26" s="449"/>
      <c r="G26" s="448"/>
      <c r="H26" s="450">
        <f>H24-G25</f>
        <v>2835.855</v>
      </c>
      <c r="I26" s="445"/>
    </row>
    <row r="27" spans="1:9" ht="12.75">
      <c r="A27" s="432"/>
      <c r="B27" s="442"/>
      <c r="C27" s="433"/>
      <c r="D27" s="433"/>
      <c r="E27" s="433"/>
      <c r="F27" s="434"/>
      <c r="G27" s="458"/>
      <c r="H27" s="433"/>
      <c r="I27" s="435"/>
    </row>
    <row r="28" spans="1:9" ht="12.75">
      <c r="A28" s="432"/>
      <c r="B28" s="442"/>
      <c r="C28" s="433"/>
      <c r="D28" s="433"/>
      <c r="E28" s="433"/>
      <c r="F28" s="434"/>
      <c r="G28" s="458"/>
      <c r="H28" s="433"/>
      <c r="I28" s="435"/>
    </row>
    <row r="29" spans="1:9" ht="12.75">
      <c r="A29" s="432"/>
      <c r="B29" s="433"/>
      <c r="C29" s="443" t="s">
        <v>252</v>
      </c>
      <c r="D29" s="443"/>
      <c r="E29" s="472"/>
      <c r="F29" s="473"/>
      <c r="G29" s="474"/>
      <c r="H29" s="443">
        <f>G89</f>
        <v>1211.25</v>
      </c>
      <c r="I29" s="435"/>
    </row>
    <row r="30" spans="1:9" ht="12.75">
      <c r="A30" s="432"/>
      <c r="B30" s="442"/>
      <c r="C30" s="433"/>
      <c r="D30" s="433"/>
      <c r="E30" s="433" t="s">
        <v>250</v>
      </c>
      <c r="F30" s="434"/>
      <c r="G30" s="467">
        <f>H89</f>
        <v>2943.3375</v>
      </c>
      <c r="H30" s="433"/>
      <c r="I30" s="435"/>
    </row>
    <row r="31" spans="1:10" s="460" customFormat="1" ht="24" customHeight="1">
      <c r="A31" s="453"/>
      <c r="B31" s="447" t="s">
        <v>245</v>
      </c>
      <c r="C31" s="448"/>
      <c r="D31" s="448"/>
      <c r="E31" s="449"/>
      <c r="F31" s="448"/>
      <c r="G31" s="450"/>
      <c r="H31" s="447">
        <f>H29</f>
        <v>1211.25</v>
      </c>
      <c r="I31" s="459"/>
      <c r="J31" s="466"/>
    </row>
    <row r="32" spans="1:9" ht="12.75">
      <c r="A32" s="432"/>
      <c r="B32" s="433"/>
      <c r="C32" s="433"/>
      <c r="D32" s="433"/>
      <c r="E32" s="456"/>
      <c r="F32" s="457"/>
      <c r="G32" s="433"/>
      <c r="H32" s="433"/>
      <c r="I32" s="445"/>
    </row>
    <row r="33" spans="1:9" ht="12.75">
      <c r="A33" s="432"/>
      <c r="B33" s="475" t="s">
        <v>253</v>
      </c>
      <c r="C33" s="475"/>
      <c r="D33" s="475"/>
      <c r="E33" s="476"/>
      <c r="F33" s="477"/>
      <c r="G33" s="476"/>
      <c r="H33" s="478">
        <f>I92+H36</f>
        <v>1492285.956</v>
      </c>
      <c r="I33" s="445"/>
    </row>
    <row r="34" spans="1:9" ht="12.75">
      <c r="A34" s="432"/>
      <c r="B34" s="442"/>
      <c r="C34" s="433"/>
      <c r="D34" s="433"/>
      <c r="E34" s="433" t="s">
        <v>250</v>
      </c>
      <c r="F34" s="434"/>
      <c r="G34" s="479">
        <v>0</v>
      </c>
      <c r="H34" s="433"/>
      <c r="I34" s="445"/>
    </row>
    <row r="35" spans="1:9" ht="12.75">
      <c r="A35" s="432"/>
      <c r="B35" s="433"/>
      <c r="C35" s="433"/>
      <c r="D35" s="433"/>
      <c r="E35" s="480" t="s">
        <v>254</v>
      </c>
      <c r="F35" s="481">
        <v>1</v>
      </c>
      <c r="G35" s="482"/>
      <c r="H35" s="483">
        <f>I92</f>
        <v>1492285.956</v>
      </c>
      <c r="I35" s="445"/>
    </row>
    <row r="36" spans="1:9" ht="12.75">
      <c r="A36" s="432"/>
      <c r="B36" s="433"/>
      <c r="C36" s="475" t="s">
        <v>255</v>
      </c>
      <c r="D36" s="475"/>
      <c r="E36" s="484"/>
      <c r="F36" s="485"/>
      <c r="G36" s="486"/>
      <c r="H36" s="475">
        <f>I93</f>
        <v>0</v>
      </c>
      <c r="I36" s="445"/>
    </row>
    <row r="37" spans="1:9" ht="12.75">
      <c r="A37" s="432"/>
      <c r="B37" s="433"/>
      <c r="C37" s="447"/>
      <c r="D37" s="447"/>
      <c r="E37" s="487" t="s">
        <v>256</v>
      </c>
      <c r="F37" s="488"/>
      <c r="G37" s="447"/>
      <c r="H37" s="447">
        <f>H36</f>
        <v>0</v>
      </c>
      <c r="I37" s="445"/>
    </row>
    <row r="38" spans="1:9" ht="12.75">
      <c r="A38" s="432"/>
      <c r="B38" s="458"/>
      <c r="C38" s="458"/>
      <c r="D38" s="458"/>
      <c r="E38" s="446"/>
      <c r="F38" s="461"/>
      <c r="G38" s="458"/>
      <c r="H38" s="458"/>
      <c r="I38" s="445"/>
    </row>
    <row r="39" spans="1:9" ht="12.75">
      <c r="A39" s="432"/>
      <c r="B39" s="475" t="s">
        <v>257</v>
      </c>
      <c r="C39" s="475"/>
      <c r="D39" s="475"/>
      <c r="E39" s="476"/>
      <c r="F39" s="477"/>
      <c r="G39" s="476"/>
      <c r="H39" s="478">
        <f>I95</f>
        <v>1760925.342</v>
      </c>
      <c r="I39" s="445"/>
    </row>
    <row r="40" spans="1:9" ht="12.75">
      <c r="A40" s="432"/>
      <c r="B40" s="442"/>
      <c r="C40" s="433"/>
      <c r="D40" s="433"/>
      <c r="E40" s="433" t="s">
        <v>250</v>
      </c>
      <c r="F40" s="434"/>
      <c r="G40" s="479">
        <f>H95</f>
        <v>374370.742</v>
      </c>
      <c r="H40" s="433"/>
      <c r="I40" s="445"/>
    </row>
    <row r="41" spans="1:9" ht="12.75">
      <c r="A41" s="432"/>
      <c r="B41" s="433"/>
      <c r="C41" s="433"/>
      <c r="D41" s="433"/>
      <c r="E41" s="480" t="s">
        <v>254</v>
      </c>
      <c r="F41" s="481"/>
      <c r="G41" s="482"/>
      <c r="H41" s="483">
        <f>'[1]Beruházás (2)'!B27/1000</f>
        <v>1316647.75</v>
      </c>
      <c r="I41" s="445"/>
    </row>
    <row r="42" spans="1:9" ht="12.75">
      <c r="A42" s="432"/>
      <c r="B42" s="433"/>
      <c r="C42" s="447"/>
      <c r="D42" s="447"/>
      <c r="E42" s="487" t="s">
        <v>256</v>
      </c>
      <c r="F42" s="488"/>
      <c r="G42" s="447"/>
      <c r="H42" s="447">
        <f>G96-H41</f>
        <v>69297.25</v>
      </c>
      <c r="I42" s="445"/>
    </row>
    <row r="43" spans="1:9" ht="12.75">
      <c r="A43" s="432"/>
      <c r="B43" s="433"/>
      <c r="C43" s="475" t="s">
        <v>255</v>
      </c>
      <c r="D43" s="475"/>
      <c r="E43" s="484"/>
      <c r="F43" s="485"/>
      <c r="G43" s="486"/>
      <c r="H43" s="475">
        <f>'[1]Beruházás (2)'!B36/1000</f>
        <v>609.6</v>
      </c>
      <c r="I43" s="445"/>
    </row>
    <row r="44" spans="1:9" ht="12.75">
      <c r="A44" s="432"/>
      <c r="B44" s="442"/>
      <c r="C44" s="433"/>
      <c r="D44" s="433"/>
      <c r="E44" s="433" t="s">
        <v>250</v>
      </c>
      <c r="F44" s="434"/>
      <c r="G44" s="479">
        <f>H43*0.27</f>
        <v>164.592</v>
      </c>
      <c r="H44" s="433"/>
      <c r="I44" s="445"/>
    </row>
    <row r="45" spans="1:9" ht="12.75">
      <c r="A45" s="432"/>
      <c r="B45" s="433"/>
      <c r="C45" s="447"/>
      <c r="D45" s="447"/>
      <c r="E45" s="487" t="s">
        <v>256</v>
      </c>
      <c r="F45" s="488"/>
      <c r="G45" s="447"/>
      <c r="H45" s="447">
        <f>H43-G44</f>
        <v>445.00800000000004</v>
      </c>
      <c r="I45" s="445"/>
    </row>
    <row r="46" spans="1:9" ht="12.75">
      <c r="A46" s="432"/>
      <c r="B46" s="433"/>
      <c r="C46" s="475"/>
      <c r="D46" s="458"/>
      <c r="E46" s="489"/>
      <c r="F46" s="489"/>
      <c r="G46" s="490"/>
      <c r="H46" s="458"/>
      <c r="I46" s="459"/>
    </row>
    <row r="47" spans="1:9" ht="12.75">
      <c r="A47" s="432"/>
      <c r="B47" s="433"/>
      <c r="C47" s="475" t="s">
        <v>258</v>
      </c>
      <c r="D47" s="458"/>
      <c r="E47" s="489"/>
      <c r="F47" s="489"/>
      <c r="G47" s="490"/>
      <c r="H47" s="458">
        <f>I99</f>
        <v>1687177.2835000001</v>
      </c>
      <c r="I47" s="459"/>
    </row>
    <row r="48" spans="1:9" ht="12.75">
      <c r="A48" s="432"/>
      <c r="B48" s="433"/>
      <c r="C48" s="433"/>
      <c r="D48" s="433"/>
      <c r="E48" s="480" t="s">
        <v>259</v>
      </c>
      <c r="F48" s="481"/>
      <c r="G48" s="482"/>
      <c r="H48" s="483">
        <f>H47</f>
        <v>1687177.2835000001</v>
      </c>
      <c r="I48" s="445"/>
    </row>
    <row r="49" spans="1:9" ht="12.75">
      <c r="A49" s="432"/>
      <c r="B49" s="433"/>
      <c r="C49" s="475"/>
      <c r="D49" s="458"/>
      <c r="E49" s="489"/>
      <c r="F49" s="489"/>
      <c r="G49" s="490"/>
      <c r="H49" s="458"/>
      <c r="I49" s="459"/>
    </row>
    <row r="50" spans="1:9" ht="12.75">
      <c r="A50" s="432"/>
      <c r="B50" s="433"/>
      <c r="C50" s="475" t="s">
        <v>260</v>
      </c>
      <c r="D50" s="458"/>
      <c r="E50" s="489"/>
      <c r="F50" s="489"/>
      <c r="G50" s="490"/>
      <c r="H50" s="458"/>
      <c r="I50" s="459">
        <f>I102+I105</f>
        <v>427494.83508999995</v>
      </c>
    </row>
    <row r="51" spans="1:9" ht="12.75">
      <c r="A51" s="432"/>
      <c r="B51" s="433"/>
      <c r="C51" s="475"/>
      <c r="D51" s="458"/>
      <c r="E51" s="489"/>
      <c r="F51" s="489"/>
      <c r="G51" s="490"/>
      <c r="H51" s="479">
        <f>H105</f>
        <v>0</v>
      </c>
      <c r="I51" s="459"/>
    </row>
    <row r="52" spans="1:10" s="460" customFormat="1" ht="24" customHeight="1">
      <c r="A52" s="453"/>
      <c r="B52" s="455"/>
      <c r="C52" s="489"/>
      <c r="D52" s="489"/>
      <c r="E52" s="489"/>
      <c r="F52" s="489"/>
      <c r="G52" s="491"/>
      <c r="H52" s="458"/>
      <c r="I52" s="492">
        <f>I50-H51</f>
        <v>427494.83508999995</v>
      </c>
      <c r="J52" s="493"/>
    </row>
    <row r="53" spans="1:10" s="460" customFormat="1" ht="24" customHeight="1">
      <c r="A53" s="453"/>
      <c r="B53" s="455"/>
      <c r="C53" s="489"/>
      <c r="D53" s="494"/>
      <c r="E53" s="494"/>
      <c r="F53" s="495" t="s">
        <v>261</v>
      </c>
      <c r="G53" s="496"/>
      <c r="H53" s="494"/>
      <c r="I53" s="497">
        <v>0</v>
      </c>
      <c r="J53" s="493"/>
    </row>
    <row r="54" spans="1:10" s="460" customFormat="1" ht="24" customHeight="1">
      <c r="A54" s="453"/>
      <c r="B54" s="455"/>
      <c r="C54" s="489"/>
      <c r="D54" s="447" t="s">
        <v>256</v>
      </c>
      <c r="E54" s="448"/>
      <c r="F54" s="448"/>
      <c r="G54" s="498"/>
      <c r="H54" s="447"/>
      <c r="I54" s="499">
        <f>I52-I53</f>
        <v>427494.83508999995</v>
      </c>
      <c r="J54" s="493"/>
    </row>
    <row r="55" spans="1:10" s="460" customFormat="1" ht="24" customHeight="1">
      <c r="A55" s="453"/>
      <c r="B55" s="455"/>
      <c r="C55" s="489"/>
      <c r="D55" s="458" t="s">
        <v>262</v>
      </c>
      <c r="E55" s="489"/>
      <c r="F55" s="489"/>
      <c r="G55" s="490"/>
      <c r="H55" s="458"/>
      <c r="I55" s="459">
        <v>0</v>
      </c>
      <c r="J55" s="493"/>
    </row>
    <row r="56" spans="1:9" ht="12.75">
      <c r="A56" s="432"/>
      <c r="B56" s="436" t="s">
        <v>263</v>
      </c>
      <c r="C56" s="430"/>
      <c r="D56" s="430"/>
      <c r="E56" s="430"/>
      <c r="F56" s="437"/>
      <c r="G56" s="430"/>
      <c r="H56" s="430"/>
      <c r="I56" s="431">
        <f>I57</f>
        <v>98027.67854775829</v>
      </c>
    </row>
    <row r="57" spans="1:9" s="460" customFormat="1" ht="24" customHeight="1">
      <c r="A57" s="453"/>
      <c r="B57" s="475" t="s">
        <v>264</v>
      </c>
      <c r="C57" s="433"/>
      <c r="D57" s="433"/>
      <c r="E57" s="456"/>
      <c r="F57" s="457"/>
      <c r="G57" s="433"/>
      <c r="H57" s="433"/>
      <c r="I57" s="492">
        <f>I107</f>
        <v>98027.67854775829</v>
      </c>
    </row>
    <row r="58" spans="1:9" s="460" customFormat="1" ht="24" customHeight="1">
      <c r="A58" s="432" t="s">
        <v>265</v>
      </c>
      <c r="B58" s="458"/>
      <c r="C58" s="433"/>
      <c r="D58" s="433"/>
      <c r="E58" s="456"/>
      <c r="F58" s="457"/>
      <c r="G58" s="433"/>
      <c r="H58" s="479">
        <f>H113</f>
        <v>1695.00978</v>
      </c>
      <c r="I58" s="459"/>
    </row>
    <row r="59" spans="1:9" s="460" customFormat="1" ht="24" customHeight="1">
      <c r="A59" s="453"/>
      <c r="B59" s="433"/>
      <c r="C59" s="433" t="s">
        <v>266</v>
      </c>
      <c r="D59" s="433"/>
      <c r="E59" s="456"/>
      <c r="F59" s="457"/>
      <c r="G59" s="433"/>
      <c r="H59" s="433"/>
      <c r="I59" s="459">
        <f>I57-H58</f>
        <v>96332.6687677583</v>
      </c>
    </row>
    <row r="60" spans="1:9" s="460" customFormat="1" ht="24" customHeight="1">
      <c r="A60" s="453"/>
      <c r="B60" s="433"/>
      <c r="C60" s="458"/>
      <c r="D60" s="447" t="s">
        <v>256</v>
      </c>
      <c r="E60" s="487"/>
      <c r="F60" s="488"/>
      <c r="G60" s="447"/>
      <c r="H60" s="447"/>
      <c r="I60" s="499">
        <f>I59</f>
        <v>96332.6687677583</v>
      </c>
    </row>
    <row r="61" spans="1:9" s="460" customFormat="1" ht="15" customHeight="1">
      <c r="A61" s="453"/>
      <c r="B61" s="433"/>
      <c r="C61" s="446"/>
      <c r="D61" s="458"/>
      <c r="E61" s="446"/>
      <c r="F61" s="461"/>
      <c r="G61" s="458"/>
      <c r="H61" s="458"/>
      <c r="I61" s="459"/>
    </row>
    <row r="62" spans="1:9" s="460" customFormat="1" ht="13.5">
      <c r="A62" s="453"/>
      <c r="B62" s="433"/>
      <c r="C62" s="433"/>
      <c r="D62" s="433"/>
      <c r="E62" s="433"/>
      <c r="F62" s="491"/>
      <c r="G62" s="489"/>
      <c r="H62" s="489"/>
      <c r="I62" s="500"/>
    </row>
    <row r="63" spans="1:9" s="460" customFormat="1" ht="13.5">
      <c r="A63" s="453"/>
      <c r="B63" s="433"/>
      <c r="C63" s="433"/>
      <c r="D63" s="433"/>
      <c r="E63" s="433"/>
      <c r="F63" s="491"/>
      <c r="G63" s="489"/>
      <c r="H63" s="489"/>
      <c r="I63" s="500"/>
    </row>
    <row r="64" spans="1:9" s="460" customFormat="1" ht="13.5">
      <c r="A64" s="453"/>
      <c r="B64" s="489" t="s">
        <v>267</v>
      </c>
      <c r="C64" s="475"/>
      <c r="D64" s="475"/>
      <c r="E64" s="433"/>
      <c r="F64" s="491"/>
      <c r="G64" s="489"/>
      <c r="H64" s="489"/>
      <c r="I64" s="500">
        <f>I65</f>
        <v>88599.9154743</v>
      </c>
    </row>
    <row r="65" spans="1:9" s="460" customFormat="1" ht="26.25" customHeight="1">
      <c r="A65" s="453"/>
      <c r="B65" s="750" t="s">
        <v>268</v>
      </c>
      <c r="C65" s="751"/>
      <c r="D65" s="751"/>
      <c r="E65" s="751"/>
      <c r="F65" s="449"/>
      <c r="G65" s="448"/>
      <c r="H65" s="448"/>
      <c r="I65" s="499">
        <f>I118</f>
        <v>88599.9154743</v>
      </c>
    </row>
    <row r="66" spans="1:9" s="460" customFormat="1" ht="13.5">
      <c r="A66" s="453"/>
      <c r="B66" s="489"/>
      <c r="C66" s="489"/>
      <c r="D66" s="489"/>
      <c r="E66" s="489"/>
      <c r="F66" s="491"/>
      <c r="G66" s="489"/>
      <c r="H66" s="489"/>
      <c r="I66" s="500"/>
    </row>
    <row r="67" spans="1:9" s="460" customFormat="1" ht="13.5">
      <c r="A67" s="453"/>
      <c r="B67" s="489"/>
      <c r="C67" s="489"/>
      <c r="D67" s="489"/>
      <c r="E67" s="489"/>
      <c r="F67" s="491"/>
      <c r="G67" s="489"/>
      <c r="H67" s="489"/>
      <c r="I67" s="500"/>
    </row>
    <row r="68" spans="1:10" ht="13.5">
      <c r="A68" s="501"/>
      <c r="B68" s="458"/>
      <c r="C68" s="458"/>
      <c r="D68" s="458"/>
      <c r="E68" s="458"/>
      <c r="F68" s="471"/>
      <c r="G68" s="458"/>
      <c r="H68" s="458"/>
      <c r="I68" s="502"/>
      <c r="J68" s="503"/>
    </row>
    <row r="69" spans="1:9" s="460" customFormat="1" ht="13.5">
      <c r="A69" s="453"/>
      <c r="B69" s="489"/>
      <c r="C69" s="489"/>
      <c r="D69" s="489"/>
      <c r="E69" s="489"/>
      <c r="F69" s="491"/>
      <c r="G69" s="489"/>
      <c r="H69" s="489"/>
      <c r="I69" s="500"/>
    </row>
    <row r="70" spans="1:10" ht="13.5">
      <c r="A70" s="501"/>
      <c r="B70" s="458"/>
      <c r="C70" s="458"/>
      <c r="D70" s="458"/>
      <c r="E70" s="458"/>
      <c r="F70" s="471"/>
      <c r="G70" s="458"/>
      <c r="H70" s="458"/>
      <c r="I70" s="502"/>
      <c r="J70" s="503"/>
    </row>
    <row r="71" spans="1:9" s="508" customFormat="1" ht="15" customHeight="1">
      <c r="A71" s="504" t="s">
        <v>269</v>
      </c>
      <c r="B71" s="505"/>
      <c r="C71" s="505"/>
      <c r="D71" s="505"/>
      <c r="E71" s="505"/>
      <c r="F71" s="505"/>
      <c r="G71" s="506" t="s">
        <v>270</v>
      </c>
      <c r="H71" s="506" t="s">
        <v>271</v>
      </c>
      <c r="I71" s="507" t="s">
        <v>272</v>
      </c>
    </row>
    <row r="72" spans="1:10" ht="15.75" customHeight="1">
      <c r="A72" s="504"/>
      <c r="B72" s="505"/>
      <c r="C72" s="505"/>
      <c r="D72" s="505"/>
      <c r="E72" s="505"/>
      <c r="F72" s="505"/>
      <c r="G72" s="448">
        <f>G74+G107+G117+P104</f>
        <v>4614381.838143082</v>
      </c>
      <c r="H72" s="448">
        <f>H74+H107+H117+Q104</f>
        <v>1057313.6778189766</v>
      </c>
      <c r="I72" s="509">
        <f>I74+I107+I117+R104</f>
        <v>5671695.785962059</v>
      </c>
      <c r="J72" s="510"/>
    </row>
    <row r="73" spans="1:10" ht="12.75">
      <c r="A73" s="432"/>
      <c r="B73" s="433"/>
      <c r="C73" s="433"/>
      <c r="D73" s="433"/>
      <c r="E73" s="433"/>
      <c r="F73" s="434"/>
      <c r="G73" s="511" t="s">
        <v>273</v>
      </c>
      <c r="H73" s="511" t="s">
        <v>274</v>
      </c>
      <c r="I73" s="512" t="s">
        <v>275</v>
      </c>
      <c r="J73" s="510"/>
    </row>
    <row r="74" spans="1:11" s="508" customFormat="1" ht="12.75">
      <c r="A74" s="513"/>
      <c r="B74" s="514" t="s">
        <v>276</v>
      </c>
      <c r="C74" s="514"/>
      <c r="D74" s="514"/>
      <c r="E74" s="514"/>
      <c r="F74" s="515"/>
      <c r="G74" s="514">
        <f>G75+G91+G95+G99+G101</f>
        <v>4430809.053901024</v>
      </c>
      <c r="H74" s="514">
        <f>H75+H91+H95+H99+H101</f>
        <v>1054258.8680389766</v>
      </c>
      <c r="I74" s="516">
        <f>I75+I91+I95+I99+I101</f>
        <v>5485068.19194</v>
      </c>
      <c r="K74" s="424"/>
    </row>
    <row r="75" spans="1:11" s="508" customFormat="1" ht="12.75">
      <c r="A75" s="513"/>
      <c r="B75" s="475"/>
      <c r="C75" s="475" t="s">
        <v>277</v>
      </c>
      <c r="D75" s="475"/>
      <c r="E75" s="475"/>
      <c r="F75" s="517"/>
      <c r="G75" s="475">
        <f>G76+G87+G89+G85+G83</f>
        <v>113246.257</v>
      </c>
      <c r="H75" s="475">
        <f>H76+H87+H89+H85+H83</f>
        <v>3938.5183500000003</v>
      </c>
      <c r="I75" s="445">
        <f>I76+I87+I89+I85+I83</f>
        <v>117184.77535</v>
      </c>
      <c r="K75" s="424"/>
    </row>
    <row r="76" spans="1:11" s="508" customFormat="1" ht="13.5">
      <c r="A76" s="513"/>
      <c r="B76" s="475"/>
      <c r="C76" s="443" t="s">
        <v>311</v>
      </c>
      <c r="D76" s="444"/>
      <c r="E76" s="444"/>
      <c r="F76" s="517"/>
      <c r="G76" s="443">
        <f>SUM(G77:G81)</f>
        <v>71632.875</v>
      </c>
      <c r="H76" s="443">
        <f>H77</f>
        <v>0</v>
      </c>
      <c r="I76" s="518">
        <f aca="true" t="shared" si="0" ref="I76:I81">G76+H76</f>
        <v>71632.875</v>
      </c>
      <c r="K76" s="424"/>
    </row>
    <row r="77" spans="1:9" ht="12.75">
      <c r="A77" s="432"/>
      <c r="B77" s="433"/>
      <c r="C77" s="433"/>
      <c r="D77" s="433" t="s">
        <v>278</v>
      </c>
      <c r="E77" s="433"/>
      <c r="F77" s="434"/>
      <c r="G77" s="433">
        <f>'[1]Beruházás (2)'!L12/1000</f>
        <v>23208</v>
      </c>
      <c r="H77" s="433">
        <v>0</v>
      </c>
      <c r="I77" s="518">
        <f t="shared" si="0"/>
        <v>23208</v>
      </c>
    </row>
    <row r="78" spans="1:9" ht="12.75">
      <c r="A78" s="432"/>
      <c r="B78" s="433"/>
      <c r="C78" s="433"/>
      <c r="D78" s="433" t="s">
        <v>279</v>
      </c>
      <c r="E78" s="433"/>
      <c r="F78" s="434"/>
      <c r="G78" s="433">
        <f>'[1]Beruházás (2)'!L13/1000</f>
        <v>9495.4</v>
      </c>
      <c r="H78" s="433">
        <v>0</v>
      </c>
      <c r="I78" s="518">
        <f t="shared" si="0"/>
        <v>9495.4</v>
      </c>
    </row>
    <row r="79" spans="1:9" ht="12.75">
      <c r="A79" s="432"/>
      <c r="B79" s="433"/>
      <c r="C79" s="433"/>
      <c r="D79" s="433" t="s">
        <v>280</v>
      </c>
      <c r="E79" s="433"/>
      <c r="F79" s="434"/>
      <c r="G79" s="433">
        <f>'[1]Beruházás (2)'!L14/1000</f>
        <v>12259.8</v>
      </c>
      <c r="H79" s="433">
        <v>0</v>
      </c>
      <c r="I79" s="518">
        <f t="shared" si="0"/>
        <v>12259.8</v>
      </c>
    </row>
    <row r="80" spans="1:9" ht="12.75">
      <c r="A80" s="432"/>
      <c r="B80" s="433"/>
      <c r="C80" s="433"/>
      <c r="D80" s="433" t="s">
        <v>281</v>
      </c>
      <c r="E80" s="433"/>
      <c r="F80" s="434"/>
      <c r="G80" s="433">
        <f>'[1]Beruházás (2)'!L15/1000</f>
        <v>12669.675</v>
      </c>
      <c r="H80" s="433">
        <v>0</v>
      </c>
      <c r="I80" s="518">
        <f t="shared" si="0"/>
        <v>12669.675</v>
      </c>
    </row>
    <row r="81" spans="1:9" ht="12.75">
      <c r="A81" s="432"/>
      <c r="B81" s="433"/>
      <c r="C81" s="433"/>
      <c r="D81" s="433" t="s">
        <v>282</v>
      </c>
      <c r="E81" s="433"/>
      <c r="F81" s="434"/>
      <c r="G81" s="433">
        <f>'[1]Beruházás (2)'!L16/1000</f>
        <v>14000</v>
      </c>
      <c r="H81" s="433">
        <v>0</v>
      </c>
      <c r="I81" s="518">
        <f t="shared" si="0"/>
        <v>14000</v>
      </c>
    </row>
    <row r="82" spans="1:9" ht="12.75">
      <c r="A82" s="432"/>
      <c r="B82" s="433"/>
      <c r="C82" s="433"/>
      <c r="D82" s="433"/>
      <c r="E82" s="433"/>
      <c r="F82" s="434"/>
      <c r="G82" s="433"/>
      <c r="H82" s="433"/>
      <c r="I82" s="518"/>
    </row>
    <row r="83" spans="1:9" ht="12.75">
      <c r="A83" s="432"/>
      <c r="B83" s="433"/>
      <c r="C83" s="443" t="s">
        <v>283</v>
      </c>
      <c r="D83" s="433"/>
      <c r="E83" s="433"/>
      <c r="F83" s="434"/>
      <c r="G83" s="433">
        <f>'[1]Beruházás (2)'!B53/1000</f>
        <v>36716.277</v>
      </c>
      <c r="H83" s="433">
        <v>0</v>
      </c>
      <c r="I83" s="518">
        <f>SUM(G83:H83)</f>
        <v>36716.277</v>
      </c>
    </row>
    <row r="84" spans="1:9" ht="12.75">
      <c r="A84" s="432"/>
      <c r="B84" s="433"/>
      <c r="C84" s="433"/>
      <c r="D84" s="433"/>
      <c r="E84" s="433"/>
      <c r="F84" s="434"/>
      <c r="G84" s="433"/>
      <c r="H84" s="433"/>
      <c r="I84" s="518"/>
    </row>
    <row r="85" spans="1:9" ht="12.75">
      <c r="A85" s="432"/>
      <c r="B85" s="433"/>
      <c r="C85" s="443" t="s">
        <v>284</v>
      </c>
      <c r="D85" s="443"/>
      <c r="E85" s="443"/>
      <c r="F85" s="434"/>
      <c r="G85" s="433">
        <f>'[1]Beruházás (2)'!B38/1000</f>
        <v>2835.855</v>
      </c>
      <c r="H85" s="433">
        <f>G85*0.27</f>
        <v>765.6808500000001</v>
      </c>
      <c r="I85" s="518">
        <f>SUM(G85:H85)</f>
        <v>3601.53585</v>
      </c>
    </row>
    <row r="86" spans="1:9" ht="12.75">
      <c r="A86" s="432"/>
      <c r="B86" s="433"/>
      <c r="C86" s="433"/>
      <c r="D86" s="433"/>
      <c r="E86" s="433"/>
      <c r="F86" s="434"/>
      <c r="G86" s="433"/>
      <c r="H86" s="433"/>
      <c r="I86" s="518"/>
    </row>
    <row r="87" spans="1:9" ht="12.75">
      <c r="A87" s="432"/>
      <c r="B87" s="433"/>
      <c r="C87" s="443" t="s">
        <v>249</v>
      </c>
      <c r="D87" s="443"/>
      <c r="E87" s="443"/>
      <c r="F87" s="443"/>
      <c r="G87" s="443">
        <f>'[1]Beruházás (2)'!B39/1000</f>
        <v>850</v>
      </c>
      <c r="H87" s="443">
        <f>G87*0.27</f>
        <v>229.50000000000003</v>
      </c>
      <c r="I87" s="518">
        <f>G87+H87</f>
        <v>1079.5</v>
      </c>
    </row>
    <row r="88" spans="1:9" ht="12.75">
      <c r="A88" s="432"/>
      <c r="B88" s="433"/>
      <c r="C88" s="433"/>
      <c r="D88" s="433"/>
      <c r="E88" s="433"/>
      <c r="F88" s="434"/>
      <c r="G88" s="433"/>
      <c r="H88" s="433"/>
      <c r="I88" s="435"/>
    </row>
    <row r="89" spans="1:9" ht="12.75">
      <c r="A89" s="432"/>
      <c r="B89" s="433"/>
      <c r="C89" s="443" t="s">
        <v>252</v>
      </c>
      <c r="D89" s="443"/>
      <c r="E89" s="443"/>
      <c r="F89" s="443"/>
      <c r="G89" s="443">
        <f>'[1]Beruházás (2)'!B42/1000</f>
        <v>1211.25</v>
      </c>
      <c r="H89" s="443">
        <f>'[1]Beruházás (2)'!C42/1000</f>
        <v>2943.3375</v>
      </c>
      <c r="I89" s="518">
        <f>SUM(G89:H89)</f>
        <v>4154.5875</v>
      </c>
    </row>
    <row r="90" spans="1:9" ht="12.75">
      <c r="A90" s="432"/>
      <c r="B90" s="433"/>
      <c r="C90" s="443"/>
      <c r="D90" s="443"/>
      <c r="E90" s="443"/>
      <c r="F90" s="443"/>
      <c r="G90" s="443"/>
      <c r="H90" s="443"/>
      <c r="I90" s="518"/>
    </row>
    <row r="91" spans="1:9" ht="12.75">
      <c r="A91" s="432"/>
      <c r="B91" s="433"/>
      <c r="C91" s="489" t="s">
        <v>313</v>
      </c>
      <c r="D91" s="489"/>
      <c r="E91" s="489"/>
      <c r="F91" s="434"/>
      <c r="G91" s="475">
        <f>SUM(G92:G92)+G93</f>
        <v>1175027.3118110236</v>
      </c>
      <c r="H91" s="475">
        <f>SUM(H92:H92)+H93</f>
        <v>317258.3741889764</v>
      </c>
      <c r="I91" s="445">
        <f>SUM(I92:I92)+I93</f>
        <v>1492285.956</v>
      </c>
    </row>
    <row r="92" spans="1:9" ht="12.75">
      <c r="A92" s="432"/>
      <c r="B92" s="433"/>
      <c r="C92" s="455" t="s">
        <v>285</v>
      </c>
      <c r="D92" s="455"/>
      <c r="E92" s="455"/>
      <c r="F92" s="434"/>
      <c r="G92" s="433">
        <f>I92/1.27-1</f>
        <v>1175027.3118110236</v>
      </c>
      <c r="H92" s="433">
        <f>G92*0.27+1</f>
        <v>317258.3741889764</v>
      </c>
      <c r="I92" s="435">
        <f>'[1]Beruházás (2)'!F23/1000</f>
        <v>1492285.956</v>
      </c>
    </row>
    <row r="93" spans="1:9" ht="14.25" customHeight="1">
      <c r="A93" s="432"/>
      <c r="B93" s="433"/>
      <c r="C93" s="752" t="s">
        <v>286</v>
      </c>
      <c r="D93" s="752"/>
      <c r="E93" s="752"/>
      <c r="F93" s="752"/>
      <c r="G93" s="458">
        <v>0</v>
      </c>
      <c r="H93" s="458">
        <f>G93*0.27</f>
        <v>0</v>
      </c>
      <c r="I93" s="459">
        <f>G93+H93</f>
        <v>0</v>
      </c>
    </row>
    <row r="94" spans="1:9" ht="12.75">
      <c r="A94" s="432"/>
      <c r="B94" s="433"/>
      <c r="C94" s="520"/>
      <c r="D94" s="520"/>
      <c r="E94" s="520"/>
      <c r="F94" s="520"/>
      <c r="G94" s="433"/>
      <c r="H94" s="433"/>
      <c r="I94" s="435"/>
    </row>
    <row r="95" spans="1:9" ht="12.75">
      <c r="A95" s="432"/>
      <c r="B95" s="433"/>
      <c r="C95" s="489" t="s">
        <v>257</v>
      </c>
      <c r="D95" s="489"/>
      <c r="E95" s="489"/>
      <c r="F95" s="434"/>
      <c r="G95" s="475">
        <f>SUM(G96:G96)+G97</f>
        <v>1386554.6</v>
      </c>
      <c r="H95" s="475">
        <f>SUM(H96:H96)+H97</f>
        <v>374370.742</v>
      </c>
      <c r="I95" s="445">
        <f>SUM(I96:I96)+I97</f>
        <v>1760925.342</v>
      </c>
    </row>
    <row r="96" spans="1:9" ht="12.75">
      <c r="A96" s="432"/>
      <c r="B96" s="433"/>
      <c r="C96" s="455" t="s">
        <v>287</v>
      </c>
      <c r="D96" s="455"/>
      <c r="E96" s="455"/>
      <c r="F96" s="434"/>
      <c r="G96" s="433">
        <f>'[1]Beruházás (2)'!B26/1000</f>
        <v>1385945</v>
      </c>
      <c r="H96" s="433">
        <f>G96*0.27+1</f>
        <v>374206.15</v>
      </c>
      <c r="I96" s="435">
        <f>SUM(G96:H96)</f>
        <v>1760151.15</v>
      </c>
    </row>
    <row r="97" spans="1:9" ht="14.25" customHeight="1">
      <c r="A97" s="432"/>
      <c r="B97" s="433"/>
      <c r="C97" s="753" t="s">
        <v>288</v>
      </c>
      <c r="D97" s="753"/>
      <c r="E97" s="753"/>
      <c r="F97" s="753"/>
      <c r="G97" s="458">
        <f>'[1]Beruházás (2)'!B36/1000</f>
        <v>609.6</v>
      </c>
      <c r="H97" s="458">
        <f>G97*0.27</f>
        <v>164.592</v>
      </c>
      <c r="I97" s="459">
        <f>G97+H97</f>
        <v>774.192</v>
      </c>
    </row>
    <row r="98" spans="1:9" ht="12.75">
      <c r="A98" s="432"/>
      <c r="B98" s="433"/>
      <c r="C98" s="520"/>
      <c r="D98" s="520"/>
      <c r="E98" s="520"/>
      <c r="F98" s="520"/>
      <c r="G98" s="433"/>
      <c r="H98" s="433"/>
      <c r="I98" s="435"/>
    </row>
    <row r="99" spans="1:9" s="508" customFormat="1" ht="13.5">
      <c r="A99" s="513"/>
      <c r="B99" s="475"/>
      <c r="C99" s="760" t="s">
        <v>258</v>
      </c>
      <c r="D99" s="760"/>
      <c r="E99" s="760"/>
      <c r="F99" s="521"/>
      <c r="G99" s="475">
        <f>'[1]Beruházás (2)'!B33/1000</f>
        <v>1328486.05</v>
      </c>
      <c r="H99" s="475">
        <f>G99*0.27</f>
        <v>358691.23350000003</v>
      </c>
      <c r="I99" s="445">
        <f>G99+H99</f>
        <v>1687177.2835000001</v>
      </c>
    </row>
    <row r="100" spans="1:9" ht="12.75">
      <c r="A100" s="432"/>
      <c r="B100" s="433"/>
      <c r="C100" s="519"/>
      <c r="D100" s="519"/>
      <c r="E100" s="519"/>
      <c r="F100" s="519"/>
      <c r="G100" s="433"/>
      <c r="H100" s="433"/>
      <c r="I100" s="435"/>
    </row>
    <row r="101" spans="1:15" ht="12.75">
      <c r="A101" s="513"/>
      <c r="B101" s="489"/>
      <c r="C101" s="761" t="s">
        <v>260</v>
      </c>
      <c r="D101" s="761"/>
      <c r="E101" s="761"/>
      <c r="F101" s="761"/>
      <c r="G101" s="475">
        <f>G102+G105</f>
        <v>427494.83508999995</v>
      </c>
      <c r="H101" s="475">
        <f>H102+H105</f>
        <v>0</v>
      </c>
      <c r="I101" s="445">
        <f>I102+I105</f>
        <v>427494.83508999995</v>
      </c>
      <c r="J101" s="508"/>
      <c r="L101" s="508"/>
      <c r="M101" s="508"/>
      <c r="N101" s="508"/>
      <c r="O101" s="508"/>
    </row>
    <row r="102" spans="1:15" ht="12.75">
      <c r="A102" s="513"/>
      <c r="B102" s="489"/>
      <c r="C102" s="443" t="s">
        <v>289</v>
      </c>
      <c r="D102" s="443"/>
      <c r="E102" s="443"/>
      <c r="F102" s="443"/>
      <c r="G102" s="443">
        <f>SUM(G103:G104)</f>
        <v>427494.83508999995</v>
      </c>
      <c r="H102" s="443">
        <f>SUM(H103:H104)</f>
        <v>0</v>
      </c>
      <c r="I102" s="518">
        <f>SUM(I103:I104)</f>
        <v>427494.83508999995</v>
      </c>
      <c r="J102" s="508"/>
      <c r="L102" s="508"/>
      <c r="M102" s="508"/>
      <c r="N102" s="508"/>
      <c r="O102" s="508"/>
    </row>
    <row r="103" spans="1:9" ht="12.75">
      <c r="A103" s="432"/>
      <c r="B103" s="458"/>
      <c r="C103" s="762" t="s">
        <v>290</v>
      </c>
      <c r="D103" s="762"/>
      <c r="E103" s="762"/>
      <c r="F103" s="433"/>
      <c r="G103" s="433">
        <f>'[1]Beruházás (2)'!F62/1000-32161+645+2+6+350+30-1+138595</f>
        <v>180811.83508999998</v>
      </c>
      <c r="H103" s="433">
        <v>0</v>
      </c>
      <c r="I103" s="435">
        <f>SUM(G103:H103)</f>
        <v>180811.83508999998</v>
      </c>
    </row>
    <row r="104" spans="1:9" ht="12.75">
      <c r="A104" s="432"/>
      <c r="B104" s="458"/>
      <c r="C104" s="762" t="s">
        <v>310</v>
      </c>
      <c r="D104" s="762"/>
      <c r="E104" s="762"/>
      <c r="F104" s="433"/>
      <c r="G104" s="433">
        <f>'[1]Beruházás (2)'!C62/1000+'[1]Beruházás (2)'!B62/1000</f>
        <v>246683</v>
      </c>
      <c r="H104" s="433">
        <v>0</v>
      </c>
      <c r="I104" s="435">
        <f>SUM(G104:H104)</f>
        <v>246683</v>
      </c>
    </row>
    <row r="105" spans="1:9" ht="12.75">
      <c r="A105" s="432"/>
      <c r="B105" s="458"/>
      <c r="C105" s="755" t="s">
        <v>291</v>
      </c>
      <c r="D105" s="755"/>
      <c r="E105" s="755"/>
      <c r="F105" s="433"/>
      <c r="G105" s="475">
        <v>0</v>
      </c>
      <c r="H105" s="475">
        <v>0</v>
      </c>
      <c r="I105" s="445">
        <v>0</v>
      </c>
    </row>
    <row r="106" spans="1:9" ht="12.75">
      <c r="A106" s="432"/>
      <c r="B106" s="433"/>
      <c r="C106" s="455"/>
      <c r="D106" s="458"/>
      <c r="E106" s="458"/>
      <c r="F106" s="434"/>
      <c r="G106" s="433"/>
      <c r="H106" s="433"/>
      <c r="I106" s="435"/>
    </row>
    <row r="107" spans="1:15" ht="12.75">
      <c r="A107" s="513"/>
      <c r="B107" s="514" t="s">
        <v>292</v>
      </c>
      <c r="C107" s="514"/>
      <c r="D107" s="514"/>
      <c r="E107" s="514"/>
      <c r="F107" s="515"/>
      <c r="G107" s="514">
        <f>G108+G112</f>
        <v>94972.86876775828</v>
      </c>
      <c r="H107" s="514">
        <f>H108+H112</f>
        <v>3054.80978</v>
      </c>
      <c r="I107" s="516">
        <f>I108+I112</f>
        <v>98027.67854775829</v>
      </c>
      <c r="J107" s="508"/>
      <c r="L107" s="508"/>
      <c r="M107" s="508"/>
      <c r="N107" s="508"/>
      <c r="O107" s="508"/>
    </row>
    <row r="108" spans="1:11" s="508" customFormat="1" ht="12.75">
      <c r="A108" s="513"/>
      <c r="B108" s="475" t="s">
        <v>293</v>
      </c>
      <c r="C108" s="475"/>
      <c r="D108" s="475"/>
      <c r="E108" s="475"/>
      <c r="F108" s="517"/>
      <c r="G108" s="475">
        <f>G109+G110+G111</f>
        <v>16681</v>
      </c>
      <c r="H108" s="475">
        <f>H109+H110+H111</f>
        <v>0</v>
      </c>
      <c r="I108" s="445">
        <f>G108+H108</f>
        <v>16681</v>
      </c>
      <c r="K108" s="424"/>
    </row>
    <row r="109" spans="1:15" s="508" customFormat="1" ht="12.75">
      <c r="A109" s="432"/>
      <c r="B109" s="433"/>
      <c r="C109" s="433"/>
      <c r="D109" s="475"/>
      <c r="E109" s="433" t="s">
        <v>294</v>
      </c>
      <c r="F109" s="434"/>
      <c r="G109" s="433">
        <f>ROUND('[1]Személyi jellegű kiadások  '!P22/1000,0)</f>
        <v>12382</v>
      </c>
      <c r="H109" s="433">
        <v>0</v>
      </c>
      <c r="I109" s="435">
        <f>G109+H109</f>
        <v>12382</v>
      </c>
      <c r="J109" s="424"/>
      <c r="K109" s="424"/>
      <c r="L109" s="424"/>
      <c r="M109" s="424"/>
      <c r="N109" s="424"/>
      <c r="O109" s="424"/>
    </row>
    <row r="110" spans="1:15" s="508" customFormat="1" ht="12.75">
      <c r="A110" s="432"/>
      <c r="B110" s="433"/>
      <c r="C110" s="433"/>
      <c r="D110" s="475"/>
      <c r="E110" s="433" t="s">
        <v>295</v>
      </c>
      <c r="F110" s="434"/>
      <c r="G110" s="433">
        <f>ROUND('[1]Személyi jellegű kiadások  '!P28/1000,0)</f>
        <v>4004</v>
      </c>
      <c r="H110" s="433">
        <v>0</v>
      </c>
      <c r="I110" s="435">
        <f>G110+H110</f>
        <v>4004</v>
      </c>
      <c r="J110" s="424"/>
      <c r="K110" s="424"/>
      <c r="L110" s="424"/>
      <c r="M110" s="424"/>
      <c r="N110" s="424"/>
      <c r="O110" s="424"/>
    </row>
    <row r="111" spans="1:15" s="508" customFormat="1" ht="12.75">
      <c r="A111" s="432"/>
      <c r="B111" s="433"/>
      <c r="C111" s="433"/>
      <c r="D111" s="475"/>
      <c r="E111" s="433" t="s">
        <v>296</v>
      </c>
      <c r="F111" s="434"/>
      <c r="G111" s="433">
        <f>ROUND('[1]Személyi jellegű kiadások  '!P32/1000,0)</f>
        <v>295</v>
      </c>
      <c r="H111" s="433">
        <v>0</v>
      </c>
      <c r="I111" s="435">
        <f>G111+H111</f>
        <v>295</v>
      </c>
      <c r="J111" s="424"/>
      <c r="K111" s="424"/>
      <c r="L111" s="424"/>
      <c r="M111" s="424"/>
      <c r="N111" s="424"/>
      <c r="O111" s="424"/>
    </row>
    <row r="112" spans="1:15" ht="12.75">
      <c r="A112" s="513"/>
      <c r="B112" s="475" t="s">
        <v>297</v>
      </c>
      <c r="C112" s="475"/>
      <c r="D112" s="475"/>
      <c r="E112" s="475"/>
      <c r="F112" s="517"/>
      <c r="G112" s="475">
        <f>SUM(G113:G114)+G115</f>
        <v>78291.86876775828</v>
      </c>
      <c r="H112" s="475">
        <f>SUM(H113:H114)+H115</f>
        <v>3054.80978</v>
      </c>
      <c r="I112" s="445">
        <f>SUM(I113:I114)+I115</f>
        <v>81346.67854775829</v>
      </c>
      <c r="J112" s="508"/>
      <c r="L112" s="508"/>
      <c r="M112" s="508"/>
      <c r="N112" s="508"/>
      <c r="O112" s="508"/>
    </row>
    <row r="113" spans="1:9" ht="12.75">
      <c r="A113" s="432"/>
      <c r="B113" s="433"/>
      <c r="C113" s="433"/>
      <c r="D113" s="433"/>
      <c r="E113" s="433" t="s">
        <v>298</v>
      </c>
      <c r="F113" s="434"/>
      <c r="G113" s="433">
        <f>('[1]Dologi kiadás'!B10)/1000</f>
        <v>6277.814</v>
      </c>
      <c r="H113" s="433">
        <f>'[1]Dologi kiadás'!B11/1000</f>
        <v>1695.00978</v>
      </c>
      <c r="I113" s="435">
        <f>SUM(G113:H113)</f>
        <v>7972.823780000001</v>
      </c>
    </row>
    <row r="114" spans="1:9" ht="12.75">
      <c r="A114" s="432"/>
      <c r="B114" s="433"/>
      <c r="C114" s="433"/>
      <c r="D114" s="433"/>
      <c r="E114" s="433" t="s">
        <v>299</v>
      </c>
      <c r="F114" s="434"/>
      <c r="G114" s="433">
        <f>('[1]Dologi kiadás'!B15+'[1]Dologi kiadás'!B21+'[1]Dologi kiadás'!B25)/1000+1</f>
        <v>7667.37576775829</v>
      </c>
      <c r="H114" s="433">
        <f>'[1]Dologi kiadás'!B16/1000-1</f>
        <v>1359.8</v>
      </c>
      <c r="I114" s="435">
        <f>G114+H114</f>
        <v>9027.17576775829</v>
      </c>
    </row>
    <row r="115" spans="1:9" ht="12.75">
      <c r="A115" s="432"/>
      <c r="B115" s="433"/>
      <c r="C115" s="433"/>
      <c r="D115" s="433"/>
      <c r="E115" s="433" t="s">
        <v>300</v>
      </c>
      <c r="F115" s="434"/>
      <c r="G115" s="433">
        <f>'[1]Beruházás (2)'!B45/1000</f>
        <v>64346.679</v>
      </c>
      <c r="H115" s="433">
        <v>0</v>
      </c>
      <c r="I115" s="435">
        <f>G115</f>
        <v>64346.679</v>
      </c>
    </row>
    <row r="116" spans="1:15" ht="12.75">
      <c r="A116" s="513"/>
      <c r="B116" s="489"/>
      <c r="C116" s="433"/>
      <c r="D116" s="433"/>
      <c r="E116" s="433"/>
      <c r="F116" s="475"/>
      <c r="G116" s="433"/>
      <c r="H116" s="433"/>
      <c r="I116" s="435"/>
      <c r="J116" s="508"/>
      <c r="L116" s="508"/>
      <c r="M116" s="508"/>
      <c r="N116" s="508"/>
      <c r="O116" s="508"/>
    </row>
    <row r="117" spans="1:18" s="523" customFormat="1" ht="12.75">
      <c r="A117" s="522"/>
      <c r="B117" s="475" t="s">
        <v>301</v>
      </c>
      <c r="C117" s="475"/>
      <c r="D117" s="475"/>
      <c r="E117" s="475"/>
      <c r="F117" s="517"/>
      <c r="G117" s="475">
        <f>G118</f>
        <v>88599.9154743</v>
      </c>
      <c r="H117" s="475">
        <f>H118</f>
        <v>0</v>
      </c>
      <c r="I117" s="445">
        <f>I118</f>
        <v>88599.9154743</v>
      </c>
      <c r="J117" s="424"/>
      <c r="K117" s="508"/>
      <c r="L117" s="424"/>
      <c r="M117" s="424"/>
      <c r="N117" s="424"/>
      <c r="O117" s="424"/>
      <c r="P117" s="424"/>
      <c r="Q117" s="424"/>
      <c r="R117" s="424"/>
    </row>
    <row r="118" spans="1:18" s="523" customFormat="1" ht="25.5" customHeight="1">
      <c r="A118" s="522"/>
      <c r="B118" s="763" t="s">
        <v>302</v>
      </c>
      <c r="C118" s="763"/>
      <c r="D118" s="763"/>
      <c r="E118" s="763"/>
      <c r="F118" s="517"/>
      <c r="G118" s="535">
        <f>'[1]Beruházás (2)'!B8/1000+'[1]Beruházás (2)'!E6/1000</f>
        <v>88599.9154743</v>
      </c>
      <c r="H118" s="475">
        <v>0</v>
      </c>
      <c r="I118" s="435">
        <f>G118+H118</f>
        <v>88599.9154743</v>
      </c>
      <c r="J118" s="424"/>
      <c r="K118" s="508"/>
      <c r="L118" s="424"/>
      <c r="M118" s="424"/>
      <c r="N118" s="424"/>
      <c r="O118" s="424"/>
      <c r="P118" s="424"/>
      <c r="Q118" s="424"/>
      <c r="R118" s="424"/>
    </row>
    <row r="119" spans="1:11" ht="12.75">
      <c r="A119" s="522"/>
      <c r="B119" s="536"/>
      <c r="C119" s="433"/>
      <c r="D119" s="433"/>
      <c r="E119" s="433"/>
      <c r="F119" s="434"/>
      <c r="G119" s="535"/>
      <c r="H119" s="433"/>
      <c r="I119" s="435"/>
      <c r="K119" s="508"/>
    </row>
    <row r="120" spans="1:11" ht="12.75">
      <c r="A120" s="522"/>
      <c r="B120" s="536" t="s">
        <v>303</v>
      </c>
      <c r="C120" s="433"/>
      <c r="D120" s="433"/>
      <c r="E120" s="433"/>
      <c r="F120" s="434"/>
      <c r="G120" s="535">
        <f>H17</f>
        <v>4561.865</v>
      </c>
      <c r="H120" s="433"/>
      <c r="I120" s="435"/>
      <c r="K120" s="508"/>
    </row>
    <row r="121" spans="1:11" ht="12.75">
      <c r="A121" s="537"/>
      <c r="B121" s="447" t="s">
        <v>304</v>
      </c>
      <c r="C121" s="447"/>
      <c r="D121" s="447"/>
      <c r="E121" s="447"/>
      <c r="F121" s="524"/>
      <c r="G121" s="447">
        <f>H12+I54+I60+H31++H26+H42+H45+H18</f>
        <v>674065.1538577583</v>
      </c>
      <c r="H121" s="525"/>
      <c r="I121" s="526"/>
      <c r="K121" s="508"/>
    </row>
    <row r="122" spans="1:11" ht="12.75">
      <c r="A122" s="537"/>
      <c r="B122" s="447" t="s">
        <v>305</v>
      </c>
      <c r="C122" s="447"/>
      <c r="D122" s="447"/>
      <c r="E122" s="447"/>
      <c r="F122" s="524"/>
      <c r="G122" s="447">
        <f>I65</f>
        <v>88599.9154743</v>
      </c>
      <c r="H122" s="525"/>
      <c r="I122" s="526"/>
      <c r="K122" s="508"/>
    </row>
    <row r="123" spans="1:11" ht="12.75">
      <c r="A123" s="537"/>
      <c r="B123" s="433" t="s">
        <v>306</v>
      </c>
      <c r="C123" s="433"/>
      <c r="D123" s="433"/>
      <c r="E123" s="433"/>
      <c r="F123" s="434"/>
      <c r="G123" s="433">
        <f>+H35+H41+H48</f>
        <v>4496110.9895</v>
      </c>
      <c r="H123" s="525"/>
      <c r="I123" s="527"/>
      <c r="K123" s="508"/>
    </row>
    <row r="124" spans="1:11" ht="16.5" customHeight="1">
      <c r="A124" s="537"/>
      <c r="B124" s="433" t="s">
        <v>271</v>
      </c>
      <c r="C124" s="433"/>
      <c r="D124" s="433"/>
      <c r="E124" s="433"/>
      <c r="F124" s="434"/>
      <c r="G124" s="433">
        <f>G21+G25+G30+G34+G40+G44+H51+H58</f>
        <v>380168.8621300001</v>
      </c>
      <c r="H124" s="525"/>
      <c r="I124" s="527"/>
      <c r="K124" s="508"/>
    </row>
    <row r="125" spans="1:11" ht="12.75">
      <c r="A125" s="538"/>
      <c r="B125" s="754" t="s">
        <v>251</v>
      </c>
      <c r="C125" s="754"/>
      <c r="D125" s="754"/>
      <c r="E125" s="754"/>
      <c r="F125" s="434"/>
      <c r="G125" s="433">
        <f>H22</f>
        <v>850</v>
      </c>
      <c r="H125" s="433"/>
      <c r="I125" s="459"/>
      <c r="K125" s="508"/>
    </row>
    <row r="126" spans="1:11" ht="12.75">
      <c r="A126" s="538"/>
      <c r="B126" s="528" t="s">
        <v>261</v>
      </c>
      <c r="C126" s="528"/>
      <c r="D126" s="528"/>
      <c r="E126" s="528"/>
      <c r="F126" s="529"/>
      <c r="G126" s="528">
        <f>H16</f>
        <v>27339</v>
      </c>
      <c r="H126" s="433"/>
      <c r="I126" s="459"/>
      <c r="K126" s="508"/>
    </row>
    <row r="127" spans="1:11" ht="12.75">
      <c r="A127" s="538"/>
      <c r="B127" s="755" t="s">
        <v>146</v>
      </c>
      <c r="C127" s="755"/>
      <c r="D127" s="755"/>
      <c r="E127" s="755"/>
      <c r="F127" s="434"/>
      <c r="G127" s="475">
        <f>+G123+G124+G126+G121+G122++G125+G120</f>
        <v>5671695.785962059</v>
      </c>
      <c r="H127" s="433"/>
      <c r="I127" s="459"/>
      <c r="K127" s="508"/>
    </row>
    <row r="128" spans="1:9" ht="12.75">
      <c r="A128" s="432"/>
      <c r="B128" s="433"/>
      <c r="C128" s="433"/>
      <c r="D128" s="433"/>
      <c r="E128" s="433"/>
      <c r="F128" s="434"/>
      <c r="G128" s="433">
        <f>I72</f>
        <v>5671695.785962059</v>
      </c>
      <c r="H128" s="756"/>
      <c r="I128" s="758"/>
    </row>
    <row r="129" spans="1:9" ht="13.5" thickBot="1">
      <c r="A129" s="530"/>
      <c r="B129" s="531"/>
      <c r="C129" s="531"/>
      <c r="D129" s="531"/>
      <c r="E129" s="531"/>
      <c r="F129" s="532"/>
      <c r="G129" s="531">
        <f>G127-G128</f>
        <v>0</v>
      </c>
      <c r="H129" s="757"/>
      <c r="I129" s="759"/>
    </row>
    <row r="130" spans="1:9" ht="13.5" thickTop="1">
      <c r="A130" s="539"/>
      <c r="H130" s="533"/>
      <c r="I130" s="460"/>
    </row>
    <row r="131" spans="1:9" ht="12.75">
      <c r="A131" s="539"/>
      <c r="I131" s="460"/>
    </row>
    <row r="132" spans="1:9" ht="12.75">
      <c r="A132" s="539"/>
      <c r="I132" s="508"/>
    </row>
    <row r="133" spans="1:9" ht="12.75">
      <c r="A133" s="539"/>
      <c r="H133" s="508"/>
      <c r="I133" s="508"/>
    </row>
    <row r="134" ht="12.75">
      <c r="A134" s="539"/>
    </row>
    <row r="135" ht="12.75">
      <c r="A135" s="539"/>
    </row>
    <row r="136" ht="12.75">
      <c r="A136" s="539"/>
    </row>
    <row r="137" ht="12.75">
      <c r="A137" s="539"/>
    </row>
    <row r="138" ht="12.75">
      <c r="A138" s="539"/>
    </row>
    <row r="139" ht="12.75">
      <c r="A139" s="540"/>
    </row>
    <row r="140" ht="12.75">
      <c r="A140" s="540"/>
    </row>
    <row r="141" ht="12.75">
      <c r="A141" s="540"/>
    </row>
    <row r="142" ht="12.75">
      <c r="A142" s="539"/>
    </row>
    <row r="143" ht="12.75">
      <c r="A143" s="523"/>
    </row>
    <row r="147" ht="15" customHeight="1"/>
    <row r="150" ht="27.75" customHeight="1"/>
  </sheetData>
  <sheetProtection/>
  <mergeCells count="16">
    <mergeCell ref="B125:E125"/>
    <mergeCell ref="B127:E127"/>
    <mergeCell ref="H128:H129"/>
    <mergeCell ref="I128:I129"/>
    <mergeCell ref="C99:E99"/>
    <mergeCell ref="C101:F101"/>
    <mergeCell ref="C103:E103"/>
    <mergeCell ref="C104:E104"/>
    <mergeCell ref="C105:E105"/>
    <mergeCell ref="B118:E118"/>
    <mergeCell ref="A6:F7"/>
    <mergeCell ref="B22:E22"/>
    <mergeCell ref="A24:E24"/>
    <mergeCell ref="B65:E65"/>
    <mergeCell ref="C93:F93"/>
    <mergeCell ref="C97:F9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8" scale="9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2.75390625" style="13" bestFit="1" customWidth="1"/>
    <col min="2" max="2" width="6.875" style="11" customWidth="1"/>
    <col min="3" max="3" width="4.75390625" style="11" customWidth="1"/>
    <col min="4" max="4" width="31.25390625" style="23" customWidth="1"/>
    <col min="5" max="5" width="11.25390625" style="23" bestFit="1" customWidth="1"/>
    <col min="6" max="6" width="8.875" style="23" customWidth="1"/>
    <col min="7" max="7" width="14.125" style="23" customWidth="1"/>
    <col min="8" max="16384" width="9.125" style="11" customWidth="1"/>
  </cols>
  <sheetData>
    <row r="1" spans="1:8" ht="30" customHeight="1">
      <c r="A1" s="774" t="s">
        <v>323</v>
      </c>
      <c r="B1" s="774"/>
      <c r="C1" s="774"/>
      <c r="D1" s="774"/>
      <c r="E1" s="774"/>
      <c r="G1" s="55"/>
      <c r="H1" s="182"/>
    </row>
    <row r="2" spans="1:8" ht="39.75" customHeight="1">
      <c r="A2" s="767" t="s">
        <v>130</v>
      </c>
      <c r="B2" s="767"/>
      <c r="C2" s="767"/>
      <c r="D2" s="767"/>
      <c r="E2" s="767"/>
      <c r="F2" s="767"/>
      <c r="G2" s="767"/>
      <c r="H2" s="767"/>
    </row>
    <row r="3" spans="1:8" ht="54.75" customHeight="1">
      <c r="A3" s="768" t="s">
        <v>308</v>
      </c>
      <c r="B3" s="768"/>
      <c r="C3" s="768"/>
      <c r="D3" s="768"/>
      <c r="E3" s="768"/>
      <c r="F3" s="768"/>
      <c r="G3" s="768"/>
      <c r="H3" s="768"/>
    </row>
    <row r="4" spans="1:8" ht="54.75" customHeight="1" thickBot="1">
      <c r="A4" s="183"/>
      <c r="B4" s="183"/>
      <c r="C4" s="183"/>
      <c r="D4" s="183"/>
      <c r="E4" s="183"/>
      <c r="F4" s="183"/>
      <c r="G4" s="183"/>
      <c r="H4" s="183"/>
    </row>
    <row r="5" spans="1:8" ht="39.75" customHeight="1">
      <c r="A5" s="184"/>
      <c r="B5" s="775" t="s">
        <v>81</v>
      </c>
      <c r="C5" s="775"/>
      <c r="D5" s="775"/>
      <c r="E5" s="185"/>
      <c r="F5" s="32"/>
      <c r="G5" s="32"/>
      <c r="H5" s="186"/>
    </row>
    <row r="6" spans="1:8" ht="17.25" customHeight="1">
      <c r="A6" s="187"/>
      <c r="B6" s="17" t="s">
        <v>92</v>
      </c>
      <c r="C6" s="17"/>
      <c r="D6" s="15"/>
      <c r="E6" s="15"/>
      <c r="F6" s="15"/>
      <c r="G6" s="15"/>
      <c r="H6" s="188"/>
    </row>
    <row r="7" spans="1:8" ht="15">
      <c r="A7" s="187"/>
      <c r="B7" s="189" t="s">
        <v>211</v>
      </c>
      <c r="C7" s="17" t="s">
        <v>82</v>
      </c>
      <c r="D7" s="15"/>
      <c r="E7" s="15"/>
      <c r="F7" s="15"/>
      <c r="G7" s="15">
        <v>0</v>
      </c>
      <c r="H7" s="188" t="s">
        <v>163</v>
      </c>
    </row>
    <row r="8" spans="1:8" ht="15">
      <c r="A8" s="187"/>
      <c r="B8" s="189" t="s">
        <v>212</v>
      </c>
      <c r="C8" s="17" t="s">
        <v>95</v>
      </c>
      <c r="D8" s="15"/>
      <c r="E8" s="15"/>
      <c r="F8" s="15"/>
      <c r="G8" s="15">
        <v>0</v>
      </c>
      <c r="H8" s="188" t="s">
        <v>163</v>
      </c>
    </row>
    <row r="9" spans="1:8" ht="15">
      <c r="A9" s="187"/>
      <c r="B9" s="189" t="s">
        <v>213</v>
      </c>
      <c r="C9" s="17" t="s">
        <v>96</v>
      </c>
      <c r="D9" s="15"/>
      <c r="E9" s="15"/>
      <c r="F9" s="15"/>
      <c r="G9" s="15">
        <v>0</v>
      </c>
      <c r="H9" s="188" t="s">
        <v>163</v>
      </c>
    </row>
    <row r="10" spans="1:8" ht="42" customHeight="1">
      <c r="A10" s="187"/>
      <c r="B10" s="189" t="s">
        <v>214</v>
      </c>
      <c r="C10" s="776" t="s">
        <v>232</v>
      </c>
      <c r="D10" s="777"/>
      <c r="E10" s="777"/>
      <c r="F10" s="15"/>
      <c r="G10" s="15">
        <v>429548</v>
      </c>
      <c r="H10" s="188" t="s">
        <v>163</v>
      </c>
    </row>
    <row r="11" spans="1:8" ht="15">
      <c r="A11" s="187"/>
      <c r="B11" s="189" t="s">
        <v>215</v>
      </c>
      <c r="C11" s="17" t="s">
        <v>83</v>
      </c>
      <c r="D11" s="15"/>
      <c r="E11" s="15"/>
      <c r="F11" s="15"/>
      <c r="G11" s="15">
        <v>0</v>
      </c>
      <c r="H11" s="188" t="s">
        <v>163</v>
      </c>
    </row>
    <row r="12" spans="1:8" ht="15">
      <c r="A12" s="187"/>
      <c r="B12" s="189" t="s">
        <v>216</v>
      </c>
      <c r="C12" s="17" t="s">
        <v>97</v>
      </c>
      <c r="D12" s="15"/>
      <c r="E12" s="15"/>
      <c r="F12" s="15"/>
      <c r="G12" s="15">
        <v>0</v>
      </c>
      <c r="H12" s="188" t="s">
        <v>163</v>
      </c>
    </row>
    <row r="13" spans="1:8" s="193" customFormat="1" ht="30" customHeight="1">
      <c r="A13" s="190" t="s">
        <v>211</v>
      </c>
      <c r="B13" s="769" t="s">
        <v>84</v>
      </c>
      <c r="C13" s="769"/>
      <c r="D13" s="769"/>
      <c r="E13" s="191"/>
      <c r="F13" s="60"/>
      <c r="G13" s="91">
        <f>SUM(G7:G12)</f>
        <v>429548</v>
      </c>
      <c r="H13" s="192" t="s">
        <v>163</v>
      </c>
    </row>
    <row r="14" spans="1:8" ht="30" customHeight="1">
      <c r="A14" s="187" t="s">
        <v>212</v>
      </c>
      <c r="B14" s="770" t="s">
        <v>85</v>
      </c>
      <c r="C14" s="770"/>
      <c r="D14" s="770"/>
      <c r="E14" s="770"/>
      <c r="F14" s="771"/>
      <c r="G14" s="771"/>
      <c r="H14" s="196"/>
    </row>
    <row r="15" spans="1:8" ht="15">
      <c r="A15" s="187"/>
      <c r="B15" s="194"/>
      <c r="C15" s="766" t="s">
        <v>86</v>
      </c>
      <c r="D15" s="766"/>
      <c r="E15" s="194"/>
      <c r="F15" s="195"/>
      <c r="G15" s="19">
        <f>G13*50%</f>
        <v>214774</v>
      </c>
      <c r="H15" s="196" t="s">
        <v>163</v>
      </c>
    </row>
    <row r="16" spans="1:8" ht="15">
      <c r="A16" s="187"/>
      <c r="B16" s="194"/>
      <c r="C16" s="107"/>
      <c r="D16" s="107"/>
      <c r="E16" s="194"/>
      <c r="F16" s="195"/>
      <c r="G16" s="19"/>
      <c r="H16" s="196"/>
    </row>
    <row r="17" spans="1:8" ht="30" customHeight="1">
      <c r="A17" s="190" t="s">
        <v>213</v>
      </c>
      <c r="B17" s="772" t="s">
        <v>164</v>
      </c>
      <c r="C17" s="772"/>
      <c r="D17" s="772"/>
      <c r="E17" s="34"/>
      <c r="F17" s="15"/>
      <c r="G17" s="15"/>
      <c r="H17" s="188"/>
    </row>
    <row r="18" spans="1:8" ht="16.5" customHeight="1">
      <c r="A18" s="187"/>
      <c r="B18" s="17"/>
      <c r="C18" s="17" t="s">
        <v>153</v>
      </c>
      <c r="D18" s="15"/>
      <c r="E18" s="15">
        <v>0</v>
      </c>
      <c r="F18" s="15" t="s">
        <v>163</v>
      </c>
      <c r="G18" s="15"/>
      <c r="H18" s="188"/>
    </row>
    <row r="19" spans="1:8" ht="15.75" customHeight="1">
      <c r="A19" s="187"/>
      <c r="B19" s="17"/>
      <c r="C19" s="17" t="s">
        <v>100</v>
      </c>
      <c r="D19" s="17"/>
      <c r="E19" s="15">
        <v>0</v>
      </c>
      <c r="F19" s="15" t="s">
        <v>163</v>
      </c>
      <c r="G19" s="765">
        <f>SUM(E18:E21)</f>
        <v>0</v>
      </c>
      <c r="H19" s="764" t="s">
        <v>163</v>
      </c>
    </row>
    <row r="20" spans="1:8" ht="15.75" customHeight="1">
      <c r="A20" s="187"/>
      <c r="B20" s="17"/>
      <c r="C20" s="17" t="s">
        <v>99</v>
      </c>
      <c r="D20" s="17"/>
      <c r="E20" s="15">
        <v>0</v>
      </c>
      <c r="F20" s="15" t="s">
        <v>163</v>
      </c>
      <c r="G20" s="765"/>
      <c r="H20" s="764"/>
    </row>
    <row r="21" spans="1:8" ht="30" customHeight="1">
      <c r="A21" s="187"/>
      <c r="B21" s="17"/>
      <c r="C21" s="773" t="s">
        <v>98</v>
      </c>
      <c r="D21" s="773"/>
      <c r="E21" s="15">
        <v>0</v>
      </c>
      <c r="F21" s="15" t="s">
        <v>163</v>
      </c>
      <c r="G21" s="15"/>
      <c r="H21" s="188"/>
    </row>
    <row r="22" spans="1:8" ht="15">
      <c r="A22" s="187"/>
      <c r="B22" s="17"/>
      <c r="C22" s="17"/>
      <c r="D22" s="15"/>
      <c r="E22" s="15"/>
      <c r="F22" s="15"/>
      <c r="G22" s="15"/>
      <c r="H22" s="188"/>
    </row>
    <row r="23" spans="1:8" ht="30" customHeight="1" thickBot="1">
      <c r="A23" s="197" t="s">
        <v>214</v>
      </c>
      <c r="B23" s="198" t="s">
        <v>87</v>
      </c>
      <c r="C23" s="198"/>
      <c r="D23" s="198"/>
      <c r="E23" s="198"/>
      <c r="F23" s="199"/>
      <c r="G23" s="200">
        <f>SUM(G15,G19)</f>
        <v>214774</v>
      </c>
      <c r="H23" s="201" t="s">
        <v>163</v>
      </c>
    </row>
    <row r="25" ht="15">
      <c r="D25" s="23" t="s">
        <v>199</v>
      </c>
    </row>
  </sheetData>
  <sheetProtection/>
  <mergeCells count="12">
    <mergeCell ref="C21:D21"/>
    <mergeCell ref="A1:E1"/>
    <mergeCell ref="B5:D5"/>
    <mergeCell ref="C10:E10"/>
    <mergeCell ref="H19:H20"/>
    <mergeCell ref="G19:G20"/>
    <mergeCell ref="C15:D15"/>
    <mergeCell ref="A2:H2"/>
    <mergeCell ref="A3:H3"/>
    <mergeCell ref="B13:D13"/>
    <mergeCell ref="B14:G14"/>
    <mergeCell ref="B17:D1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90" zoomScaleSheetLayoutView="90" zoomScalePageLayoutView="0" workbookViewId="0" topLeftCell="A1">
      <selection activeCell="B10" sqref="B10"/>
    </sheetView>
  </sheetViews>
  <sheetFormatPr defaultColWidth="9.00390625" defaultRowHeight="12.75"/>
  <cols>
    <col min="1" max="1" width="4.75390625" style="415" customWidth="1"/>
    <col min="2" max="2" width="35.375" style="416" customWidth="1"/>
    <col min="3" max="3" width="23.25390625" style="415" customWidth="1"/>
    <col min="4" max="4" width="15.875" style="417" customWidth="1"/>
    <col min="5" max="5" width="12.75390625" style="417" customWidth="1"/>
    <col min="6" max="8" width="14.75390625" style="417" customWidth="1"/>
    <col min="9" max="9" width="11.75390625" style="417" customWidth="1"/>
    <col min="10" max="10" width="14.75390625" style="417" customWidth="1"/>
    <col min="11" max="11" width="12.75390625" style="417" customWidth="1"/>
    <col min="12" max="12" width="16.125" style="417" customWidth="1"/>
    <col min="13" max="13" width="14.75390625" style="417" customWidth="1"/>
    <col min="14" max="14" width="10.875" style="417" bestFit="1" customWidth="1"/>
    <col min="15" max="16384" width="9.125" style="418" customWidth="1"/>
  </cols>
  <sheetData>
    <row r="1" spans="2:14" ht="16.5">
      <c r="B1" s="396" t="s">
        <v>324</v>
      </c>
      <c r="M1" s="778" t="s">
        <v>129</v>
      </c>
      <c r="N1" s="778"/>
    </row>
    <row r="2" spans="1:14" ht="24.75" customHeight="1">
      <c r="A2" s="779" t="s">
        <v>130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</row>
    <row r="3" spans="1:14" ht="24.75" customHeight="1">
      <c r="A3" s="780" t="s">
        <v>131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</row>
    <row r="4" spans="1:14" ht="24.75" customHeight="1">
      <c r="A4" s="779" t="s">
        <v>132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</row>
    <row r="5" spans="13:14" ht="17.25" thickBot="1">
      <c r="M5" s="781" t="s">
        <v>147</v>
      </c>
      <c r="N5" s="781"/>
    </row>
    <row r="6" spans="1:14" s="419" customFormat="1" ht="17.25" customHeight="1" thickTop="1">
      <c r="A6" s="782" t="s">
        <v>162</v>
      </c>
      <c r="B6" s="784" t="s">
        <v>133</v>
      </c>
      <c r="C6" s="784" t="s">
        <v>134</v>
      </c>
      <c r="D6" s="786" t="s">
        <v>192</v>
      </c>
      <c r="E6" s="786" t="s">
        <v>135</v>
      </c>
      <c r="F6" s="786"/>
      <c r="G6" s="786"/>
      <c r="H6" s="786"/>
      <c r="I6" s="786"/>
      <c r="J6" s="786"/>
      <c r="K6" s="786" t="s">
        <v>161</v>
      </c>
      <c r="L6" s="786"/>
      <c r="M6" s="786"/>
      <c r="N6" s="791" t="s">
        <v>218</v>
      </c>
    </row>
    <row r="7" spans="1:14" s="419" customFormat="1" ht="33" customHeight="1">
      <c r="A7" s="783"/>
      <c r="B7" s="785"/>
      <c r="C7" s="785"/>
      <c r="D7" s="787"/>
      <c r="E7" s="787" t="s">
        <v>136</v>
      </c>
      <c r="F7" s="787" t="s">
        <v>137</v>
      </c>
      <c r="G7" s="787"/>
      <c r="H7" s="787"/>
      <c r="I7" s="787"/>
      <c r="J7" s="423" t="s">
        <v>146</v>
      </c>
      <c r="K7" s="787" t="s">
        <v>136</v>
      </c>
      <c r="L7" s="787" t="s">
        <v>137</v>
      </c>
      <c r="M7" s="785" t="s">
        <v>146</v>
      </c>
      <c r="N7" s="792"/>
    </row>
    <row r="8" spans="1:14" s="419" customFormat="1" ht="16.5">
      <c r="A8" s="783"/>
      <c r="B8" s="785"/>
      <c r="C8" s="785"/>
      <c r="D8" s="787"/>
      <c r="E8" s="787"/>
      <c r="F8" s="541" t="s">
        <v>138</v>
      </c>
      <c r="G8" s="541">
        <v>2014</v>
      </c>
      <c r="H8" s="541">
        <v>2015</v>
      </c>
      <c r="I8" s="541">
        <v>2016</v>
      </c>
      <c r="J8" s="542"/>
      <c r="K8" s="787"/>
      <c r="L8" s="787"/>
      <c r="M8" s="785"/>
      <c r="N8" s="792"/>
    </row>
    <row r="9" spans="1:14" ht="33" customHeight="1">
      <c r="A9" s="543" t="s">
        <v>211</v>
      </c>
      <c r="B9" s="546" t="s">
        <v>229</v>
      </c>
      <c r="C9" s="547" t="s">
        <v>230</v>
      </c>
      <c r="D9" s="548">
        <f>J9+E9</f>
        <v>3429787.9124122</v>
      </c>
      <c r="E9" s="548">
        <v>0</v>
      </c>
      <c r="F9" s="548">
        <f>(345322698.133+1592179258)/1000</f>
        <v>1937501.9561329999</v>
      </c>
      <c r="G9" s="548">
        <f>1492285956.2792/1000</f>
        <v>1492285.9562792</v>
      </c>
      <c r="H9" s="548">
        <v>0</v>
      </c>
      <c r="I9" s="548">
        <v>0</v>
      </c>
      <c r="J9" s="544">
        <f>SUM(E9:I9)</f>
        <v>3429787.9124122</v>
      </c>
      <c r="K9" s="548">
        <v>0</v>
      </c>
      <c r="L9" s="544">
        <f>G9</f>
        <v>1492285.9562792</v>
      </c>
      <c r="M9" s="548">
        <f>SUM(K9:L9)</f>
        <v>1492285.9562792</v>
      </c>
      <c r="N9" s="545">
        <v>0</v>
      </c>
    </row>
    <row r="10" spans="1:14" s="420" customFormat="1" ht="33" customHeight="1">
      <c r="A10" s="543" t="s">
        <v>212</v>
      </c>
      <c r="B10" s="546" t="s">
        <v>231</v>
      </c>
      <c r="C10" s="547">
        <v>2014</v>
      </c>
      <c r="D10" s="548">
        <f>'10. Tábla'!G96</f>
        <v>1385945</v>
      </c>
      <c r="E10" s="548">
        <f>D10-G10</f>
        <v>207891.75</v>
      </c>
      <c r="F10" s="548">
        <v>0</v>
      </c>
      <c r="G10" s="548">
        <f>1178053250/1000</f>
        <v>1178053.25</v>
      </c>
      <c r="H10" s="548">
        <v>0</v>
      </c>
      <c r="I10" s="548">
        <v>0</v>
      </c>
      <c r="J10" s="544">
        <f>SUM(E10:I10)</f>
        <v>1385945</v>
      </c>
      <c r="K10" s="548">
        <f>E10</f>
        <v>207891.75</v>
      </c>
      <c r="L10" s="548">
        <f>G10</f>
        <v>1178053.25</v>
      </c>
      <c r="M10" s="548">
        <f>SUM(K10:L10)</f>
        <v>1385945</v>
      </c>
      <c r="N10" s="549">
        <v>0</v>
      </c>
    </row>
    <row r="11" spans="1:14" s="421" customFormat="1" ht="39.75" customHeight="1" thickBot="1">
      <c r="A11" s="788" t="s">
        <v>146</v>
      </c>
      <c r="B11" s="789"/>
      <c r="C11" s="789"/>
      <c r="D11" s="550">
        <f aca="true" t="shared" si="0" ref="D11:N11">SUM(D9:D10)</f>
        <v>4815732.9124122</v>
      </c>
      <c r="E11" s="550">
        <f t="shared" si="0"/>
        <v>207891.75</v>
      </c>
      <c r="F11" s="550">
        <f t="shared" si="0"/>
        <v>1937501.9561329999</v>
      </c>
      <c r="G11" s="550">
        <f t="shared" si="0"/>
        <v>2670339.2062792</v>
      </c>
      <c r="H11" s="550">
        <f t="shared" si="0"/>
        <v>0</v>
      </c>
      <c r="I11" s="550">
        <f t="shared" si="0"/>
        <v>0</v>
      </c>
      <c r="J11" s="550">
        <f t="shared" si="0"/>
        <v>4815732.9124122</v>
      </c>
      <c r="K11" s="550">
        <f t="shared" si="0"/>
        <v>207891.75</v>
      </c>
      <c r="L11" s="550">
        <f t="shared" si="0"/>
        <v>2670339.2062792</v>
      </c>
      <c r="M11" s="550">
        <f t="shared" si="0"/>
        <v>2878230.9562792</v>
      </c>
      <c r="N11" s="550">
        <f t="shared" si="0"/>
        <v>0</v>
      </c>
    </row>
    <row r="12" spans="1:8" ht="24.75" customHeight="1" thickTop="1">
      <c r="A12" s="790"/>
      <c r="B12" s="790"/>
      <c r="C12" s="790"/>
      <c r="D12" s="790"/>
      <c r="E12" s="790"/>
      <c r="F12" s="790"/>
      <c r="G12" s="790"/>
      <c r="H12" s="422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19">
    <mergeCell ref="A11:C11"/>
    <mergeCell ref="A12:G12"/>
    <mergeCell ref="K6:M6"/>
    <mergeCell ref="N6:N8"/>
    <mergeCell ref="E7:E8"/>
    <mergeCell ref="F7:I7"/>
    <mergeCell ref="K7:K8"/>
    <mergeCell ref="L7:L8"/>
    <mergeCell ref="M7:M8"/>
    <mergeCell ref="M1:N1"/>
    <mergeCell ref="A2:N2"/>
    <mergeCell ref="A3:N3"/>
    <mergeCell ref="A4:N4"/>
    <mergeCell ref="M5:N5"/>
    <mergeCell ref="A6:A8"/>
    <mergeCell ref="B6:B8"/>
    <mergeCell ref="C6:C8"/>
    <mergeCell ref="D6:D8"/>
    <mergeCell ref="E6:J6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SheetLayoutView="100" zoomScalePageLayoutView="0" workbookViewId="0" topLeftCell="A1">
      <pane ySplit="6" topLeftCell="A31" activePane="bottomLeft" state="frozen"/>
      <selection pane="topLeft" activeCell="E19" sqref="E19"/>
      <selection pane="bottomLeft" activeCell="H33" sqref="H33"/>
    </sheetView>
  </sheetViews>
  <sheetFormatPr defaultColWidth="9.00390625" defaultRowHeight="12.75"/>
  <cols>
    <col min="1" max="1" width="3.75390625" style="286" customWidth="1"/>
    <col min="2" max="2" width="5.75390625" style="365" customWidth="1"/>
    <col min="3" max="5" width="5.75390625" style="366" customWidth="1"/>
    <col min="6" max="6" width="55.75390625" style="288" customWidth="1"/>
    <col min="7" max="7" width="12.75390625" style="340" customWidth="1"/>
    <col min="8" max="9" width="12.75390625" style="288" customWidth="1"/>
    <col min="10" max="10" width="15.75390625" style="288" customWidth="1"/>
    <col min="11" max="11" width="11.00390625" style="287" bestFit="1" customWidth="1"/>
    <col min="12" max="13" width="10.25390625" style="287" bestFit="1" customWidth="1"/>
    <col min="14" max="14" width="11.875" style="287" bestFit="1" customWidth="1"/>
    <col min="15" max="15" width="9.125" style="287" customWidth="1"/>
    <col min="16" max="16384" width="9.125" style="288" customWidth="1"/>
  </cols>
  <sheetData>
    <row r="1" spans="2:10" ht="16.5">
      <c r="B1" s="673" t="s">
        <v>321</v>
      </c>
      <c r="C1" s="673"/>
      <c r="D1" s="673"/>
      <c r="E1" s="673"/>
      <c r="F1" s="673"/>
      <c r="H1" s="341"/>
      <c r="I1" s="342"/>
      <c r="J1" s="342"/>
    </row>
    <row r="2" spans="2:10" ht="24.75" customHeight="1">
      <c r="B2" s="676" t="s">
        <v>317</v>
      </c>
      <c r="C2" s="676"/>
      <c r="D2" s="676"/>
      <c r="E2" s="676"/>
      <c r="F2" s="676"/>
      <c r="G2" s="676"/>
      <c r="H2" s="676"/>
      <c r="I2" s="676"/>
      <c r="J2" s="676"/>
    </row>
    <row r="3" spans="2:15" ht="24.75" customHeight="1">
      <c r="B3" s="676" t="s">
        <v>194</v>
      </c>
      <c r="C3" s="676"/>
      <c r="D3" s="676"/>
      <c r="E3" s="676"/>
      <c r="F3" s="676"/>
      <c r="G3" s="676"/>
      <c r="H3" s="676"/>
      <c r="I3" s="676"/>
      <c r="J3" s="676"/>
      <c r="K3" s="675"/>
      <c r="L3" s="675"/>
      <c r="M3" s="675"/>
      <c r="N3" s="675"/>
      <c r="O3" s="675"/>
    </row>
    <row r="4" spans="2:10" ht="18" thickBot="1">
      <c r="B4" s="343"/>
      <c r="C4" s="344"/>
      <c r="D4" s="345"/>
      <c r="E4" s="344"/>
      <c r="F4" s="346"/>
      <c r="G4" s="347"/>
      <c r="H4" s="348"/>
      <c r="I4" s="674" t="s">
        <v>147</v>
      </c>
      <c r="J4" s="674"/>
    </row>
    <row r="5" spans="2:15" s="286" customFormat="1" ht="17.25" thickTop="1">
      <c r="B5" s="615" t="s">
        <v>154</v>
      </c>
      <c r="C5" s="616" t="s">
        <v>155</v>
      </c>
      <c r="D5" s="616" t="s">
        <v>156</v>
      </c>
      <c r="E5" s="616" t="s">
        <v>157</v>
      </c>
      <c r="F5" s="617" t="s">
        <v>158</v>
      </c>
      <c r="G5" s="616" t="s">
        <v>159</v>
      </c>
      <c r="H5" s="617" t="s">
        <v>160</v>
      </c>
      <c r="I5" s="617" t="s">
        <v>122</v>
      </c>
      <c r="J5" s="618" t="s">
        <v>123</v>
      </c>
      <c r="K5" s="349"/>
      <c r="L5" s="349"/>
      <c r="M5" s="349"/>
      <c r="N5" s="349"/>
      <c r="O5" s="349"/>
    </row>
    <row r="6" spans="2:15" s="350" customFormat="1" ht="57">
      <c r="B6" s="619" t="s">
        <v>150</v>
      </c>
      <c r="C6" s="560" t="s">
        <v>198</v>
      </c>
      <c r="D6" s="620" t="s">
        <v>124</v>
      </c>
      <c r="E6" s="620" t="s">
        <v>125</v>
      </c>
      <c r="F6" s="621" t="s">
        <v>148</v>
      </c>
      <c r="G6" s="620" t="s">
        <v>115</v>
      </c>
      <c r="H6" s="561" t="s">
        <v>196</v>
      </c>
      <c r="I6" s="561" t="s">
        <v>197</v>
      </c>
      <c r="J6" s="622" t="s">
        <v>161</v>
      </c>
      <c r="K6" s="351"/>
      <c r="O6" s="351"/>
    </row>
    <row r="7" spans="1:16" s="353" customFormat="1" ht="30" customHeight="1">
      <c r="A7" s="286"/>
      <c r="B7" s="623"/>
      <c r="C7" s="624"/>
      <c r="D7" s="625"/>
      <c r="E7" s="625"/>
      <c r="F7" s="626" t="s">
        <v>94</v>
      </c>
      <c r="G7" s="627"/>
      <c r="H7" s="627"/>
      <c r="I7" s="627"/>
      <c r="J7" s="628"/>
      <c r="K7" s="352"/>
      <c r="L7" s="352"/>
      <c r="M7" s="352"/>
      <c r="N7" s="352"/>
      <c r="O7" s="352"/>
      <c r="P7" s="352"/>
    </row>
    <row r="8" spans="2:10" ht="18" customHeight="1">
      <c r="B8" s="623"/>
      <c r="C8" s="624"/>
      <c r="D8" s="625">
        <v>1</v>
      </c>
      <c r="E8" s="624"/>
      <c r="F8" s="629" t="s">
        <v>107</v>
      </c>
      <c r="G8" s="630">
        <f>'4. Kiadás 2'!F15</f>
        <v>91174</v>
      </c>
      <c r="H8" s="630">
        <f>'4. Kiadás 2'!G15</f>
        <v>235140</v>
      </c>
      <c r="I8" s="630">
        <f>'4. Kiadás 2'!H15</f>
        <v>263614</v>
      </c>
      <c r="J8" s="631">
        <f>'8. Mérleg'!F10</f>
        <v>186627.5940220583</v>
      </c>
    </row>
    <row r="9" spans="2:16" ht="18" customHeight="1">
      <c r="B9" s="632"/>
      <c r="C9" s="625"/>
      <c r="D9" s="625"/>
      <c r="E9" s="625"/>
      <c r="F9" s="633" t="s">
        <v>116</v>
      </c>
      <c r="G9" s="630">
        <f>G10+G15</f>
        <v>0</v>
      </c>
      <c r="H9" s="630">
        <f>H10+H15</f>
        <v>160593</v>
      </c>
      <c r="I9" s="630">
        <f>I10+I15</f>
        <v>0</v>
      </c>
      <c r="J9" s="634">
        <f>J10+J15</f>
        <v>427494.83508999995</v>
      </c>
      <c r="P9" s="287"/>
    </row>
    <row r="10" spans="1:16" s="357" customFormat="1" ht="17.25">
      <c r="A10" s="286"/>
      <c r="B10" s="635"/>
      <c r="C10" s="636"/>
      <c r="D10" s="636"/>
      <c r="E10" s="636"/>
      <c r="F10" s="637" t="s">
        <v>117</v>
      </c>
      <c r="G10" s="638"/>
      <c r="H10" s="638"/>
      <c r="I10" s="638"/>
      <c r="J10" s="639">
        <v>0</v>
      </c>
      <c r="K10" s="356"/>
      <c r="L10" s="356"/>
      <c r="M10" s="356"/>
      <c r="N10" s="356"/>
      <c r="O10" s="356"/>
      <c r="P10" s="356"/>
    </row>
    <row r="11" spans="2:10" ht="16.5">
      <c r="B11" s="632"/>
      <c r="C11" s="625"/>
      <c r="D11" s="625"/>
      <c r="E11" s="625"/>
      <c r="F11" s="640" t="s">
        <v>139</v>
      </c>
      <c r="G11" s="630"/>
      <c r="H11" s="629"/>
      <c r="I11" s="629"/>
      <c r="J11" s="631"/>
    </row>
    <row r="12" spans="2:10" ht="16.5">
      <c r="B12" s="632"/>
      <c r="C12" s="625"/>
      <c r="D12" s="625"/>
      <c r="E12" s="625"/>
      <c r="F12" s="640" t="s">
        <v>187</v>
      </c>
      <c r="G12" s="630"/>
      <c r="H12" s="629"/>
      <c r="I12" s="629"/>
      <c r="J12" s="631"/>
    </row>
    <row r="13" spans="2:10" ht="16.5">
      <c r="B13" s="632"/>
      <c r="C13" s="625"/>
      <c r="D13" s="625"/>
      <c r="E13" s="625"/>
      <c r="F13" s="640" t="s">
        <v>188</v>
      </c>
      <c r="G13" s="630"/>
      <c r="H13" s="629"/>
      <c r="I13" s="629"/>
      <c r="J13" s="631"/>
    </row>
    <row r="14" spans="2:10" ht="18" customHeight="1">
      <c r="B14" s="632"/>
      <c r="C14" s="625"/>
      <c r="D14" s="625"/>
      <c r="E14" s="625"/>
      <c r="F14" s="641" t="s">
        <v>140</v>
      </c>
      <c r="G14" s="630"/>
      <c r="H14" s="629"/>
      <c r="I14" s="629"/>
      <c r="J14" s="631"/>
    </row>
    <row r="15" spans="1:15" s="357" customFormat="1" ht="17.25">
      <c r="A15" s="286"/>
      <c r="B15" s="635"/>
      <c r="C15" s="636"/>
      <c r="D15" s="636"/>
      <c r="E15" s="636"/>
      <c r="F15" s="637" t="s">
        <v>118</v>
      </c>
      <c r="G15" s="638">
        <f>SUM(G16:G20)</f>
        <v>0</v>
      </c>
      <c r="H15" s="638">
        <f>SUM(H16:H20)</f>
        <v>160593</v>
      </c>
      <c r="I15" s="638">
        <f>SUM(I16:I20)</f>
        <v>0</v>
      </c>
      <c r="J15" s="639">
        <f>SUM(J16:J20)</f>
        <v>427494.83508999995</v>
      </c>
      <c r="K15" s="356"/>
      <c r="L15" s="356"/>
      <c r="M15" s="356"/>
      <c r="N15" s="356"/>
      <c r="O15" s="356"/>
    </row>
    <row r="16" spans="2:10" ht="16.5">
      <c r="B16" s="632"/>
      <c r="C16" s="625"/>
      <c r="D16" s="625"/>
      <c r="E16" s="625"/>
      <c r="F16" s="640" t="s">
        <v>189</v>
      </c>
      <c r="G16" s="630"/>
      <c r="H16" s="629"/>
      <c r="I16" s="629"/>
      <c r="J16" s="631"/>
    </row>
    <row r="17" spans="2:10" ht="16.5">
      <c r="B17" s="632"/>
      <c r="C17" s="625"/>
      <c r="D17" s="625"/>
      <c r="E17" s="625"/>
      <c r="F17" s="640" t="s">
        <v>190</v>
      </c>
      <c r="G17" s="630"/>
      <c r="H17" s="629"/>
      <c r="I17" s="629"/>
      <c r="J17" s="631"/>
    </row>
    <row r="18" spans="2:10" ht="16.5">
      <c r="B18" s="632"/>
      <c r="C18" s="625"/>
      <c r="D18" s="625"/>
      <c r="E18" s="625"/>
      <c r="F18" s="640" t="s">
        <v>191</v>
      </c>
      <c r="G18" s="630"/>
      <c r="H18" s="629"/>
      <c r="I18" s="629"/>
      <c r="J18" s="631"/>
    </row>
    <row r="19" spans="2:10" ht="16.5">
      <c r="B19" s="632"/>
      <c r="C19" s="625"/>
      <c r="D19" s="625"/>
      <c r="E19" s="625"/>
      <c r="F19" s="640" t="s">
        <v>318</v>
      </c>
      <c r="G19" s="629">
        <f>'4. Kiadás 2'!F14</f>
        <v>0</v>
      </c>
      <c r="H19" s="629">
        <f>'4. Kiadás 2'!G14</f>
        <v>160593</v>
      </c>
      <c r="I19" s="629">
        <f>'4. Kiadás 2'!H14</f>
        <v>0</v>
      </c>
      <c r="J19" s="631">
        <f>'4. Kiadás 2'!I14</f>
        <v>427494.83508999995</v>
      </c>
    </row>
    <row r="20" spans="2:16" ht="18" customHeight="1">
      <c r="B20" s="632"/>
      <c r="C20" s="625"/>
      <c r="D20" s="625"/>
      <c r="E20" s="625"/>
      <c r="F20" s="633" t="s">
        <v>151</v>
      </c>
      <c r="G20" s="630"/>
      <c r="H20" s="629"/>
      <c r="I20" s="629"/>
      <c r="J20" s="631">
        <v>0</v>
      </c>
      <c r="P20" s="287"/>
    </row>
    <row r="21" spans="2:14" ht="16.5">
      <c r="B21" s="632"/>
      <c r="C21" s="625"/>
      <c r="D21" s="625"/>
      <c r="E21" s="625"/>
      <c r="F21" s="629"/>
      <c r="G21" s="630"/>
      <c r="H21" s="629"/>
      <c r="I21" s="630"/>
      <c r="J21" s="631"/>
      <c r="N21" s="358"/>
    </row>
    <row r="22" spans="2:10" ht="17.25">
      <c r="B22" s="623"/>
      <c r="C22" s="624"/>
      <c r="D22" s="625">
        <v>2</v>
      </c>
      <c r="E22" s="624"/>
      <c r="F22" s="629" t="s">
        <v>108</v>
      </c>
      <c r="G22" s="630">
        <f>SUM(G23:G25)</f>
        <v>895200</v>
      </c>
      <c r="H22" s="630">
        <f>SUM(H23:H25)</f>
        <v>7364992</v>
      </c>
      <c r="I22" s="630">
        <f>SUM(I23:I25)</f>
        <v>5707051</v>
      </c>
      <c r="J22" s="634">
        <f>SUM(J23:J25)</f>
        <v>5057573.35685</v>
      </c>
    </row>
    <row r="23" spans="2:10" ht="17.25">
      <c r="B23" s="623"/>
      <c r="C23" s="624"/>
      <c r="D23" s="625"/>
      <c r="E23" s="625">
        <v>1</v>
      </c>
      <c r="F23" s="630" t="s">
        <v>186</v>
      </c>
      <c r="G23" s="630">
        <f>'4. Kiadás 2'!F11+'4. Kiadás 2'!F10</f>
        <v>891700</v>
      </c>
      <c r="H23" s="630">
        <f>'4. Kiadás 2'!G11+'4. Kiadás 2'!G10</f>
        <v>7135462</v>
      </c>
      <c r="I23" s="630">
        <f>'4. Kiadás 2'!H11+'4. Kiadás 2'!H10</f>
        <v>5692095</v>
      </c>
      <c r="J23" s="634">
        <f>'4. Kiadás 2'!O16</f>
        <v>3262046.92135</v>
      </c>
    </row>
    <row r="24" spans="2:10" ht="17.25">
      <c r="B24" s="623"/>
      <c r="C24" s="624"/>
      <c r="D24" s="625"/>
      <c r="E24" s="625">
        <v>2</v>
      </c>
      <c r="F24" s="629" t="s">
        <v>178</v>
      </c>
      <c r="G24" s="630">
        <v>0</v>
      </c>
      <c r="H24" s="629">
        <v>0</v>
      </c>
      <c r="I24" s="630">
        <v>0</v>
      </c>
      <c r="J24" s="631">
        <f>'4. Kiadás 2'!P16</f>
        <v>0</v>
      </c>
    </row>
    <row r="25" spans="2:10" ht="17.25">
      <c r="B25" s="623"/>
      <c r="C25" s="624"/>
      <c r="D25" s="625"/>
      <c r="E25" s="625">
        <v>3</v>
      </c>
      <c r="F25" s="629" t="s">
        <v>0</v>
      </c>
      <c r="G25" s="630">
        <f>'4. Kiadás 2'!F8</f>
        <v>3500</v>
      </c>
      <c r="H25" s="630">
        <f>'4. Kiadás 2'!G8</f>
        <v>229530</v>
      </c>
      <c r="I25" s="630">
        <f>'4. Kiadás 2'!H8</f>
        <v>14956</v>
      </c>
      <c r="J25" s="631">
        <f>'4. Kiadás 2'!Q16-J19</f>
        <v>1795526.4355</v>
      </c>
    </row>
    <row r="26" spans="2:10" ht="16.5">
      <c r="B26" s="632"/>
      <c r="C26" s="625"/>
      <c r="D26" s="625"/>
      <c r="E26" s="625"/>
      <c r="F26" s="629"/>
      <c r="G26" s="630"/>
      <c r="H26" s="629"/>
      <c r="I26" s="629"/>
      <c r="J26" s="631"/>
    </row>
    <row r="27" spans="1:10" s="359" customFormat="1" ht="39.75" customHeight="1">
      <c r="A27" s="286"/>
      <c r="B27" s="642"/>
      <c r="C27" s="643"/>
      <c r="D27" s="644"/>
      <c r="E27" s="643"/>
      <c r="F27" s="645" t="s">
        <v>202</v>
      </c>
      <c r="G27" s="646">
        <f>G8+G9+G22</f>
        <v>986374</v>
      </c>
      <c r="H27" s="646">
        <f>H8+H9+H22</f>
        <v>7760725</v>
      </c>
      <c r="I27" s="646">
        <f>I8+I9+I22</f>
        <v>5970665</v>
      </c>
      <c r="J27" s="647">
        <f>J8+J9+J22</f>
        <v>5671695.785962058</v>
      </c>
    </row>
    <row r="28" spans="1:15" s="342" customFormat="1" ht="30" customHeight="1">
      <c r="A28" s="286"/>
      <c r="B28" s="632"/>
      <c r="C28" s="625"/>
      <c r="D28" s="625"/>
      <c r="E28" s="625"/>
      <c r="F28" s="648" t="s">
        <v>179</v>
      </c>
      <c r="G28" s="648">
        <f>SUM(G29:G30)</f>
        <v>0</v>
      </c>
      <c r="H28" s="648">
        <f>SUM(H29:H30)</f>
        <v>0</v>
      </c>
      <c r="I28" s="648">
        <f>SUM(I29:I30)</f>
        <v>0</v>
      </c>
      <c r="J28" s="649">
        <f>SUM(J29:J30)</f>
        <v>0</v>
      </c>
      <c r="K28" s="360"/>
      <c r="L28" s="360"/>
      <c r="M28" s="360"/>
      <c r="N28" s="360"/>
      <c r="O28" s="360"/>
    </row>
    <row r="29" spans="1:15" s="342" customFormat="1" ht="16.5">
      <c r="A29" s="286"/>
      <c r="B29" s="632"/>
      <c r="C29" s="625"/>
      <c r="D29" s="625">
        <v>1</v>
      </c>
      <c r="E29" s="625"/>
      <c r="F29" s="648" t="s">
        <v>1</v>
      </c>
      <c r="G29" s="650"/>
      <c r="H29" s="648"/>
      <c r="I29" s="648"/>
      <c r="J29" s="649"/>
      <c r="K29" s="360"/>
      <c r="L29" s="360"/>
      <c r="M29" s="360"/>
      <c r="N29" s="360"/>
      <c r="O29" s="360"/>
    </row>
    <row r="30" spans="2:10" ht="16.5">
      <c r="B30" s="632"/>
      <c r="C30" s="625"/>
      <c r="D30" s="625">
        <v>2</v>
      </c>
      <c r="E30" s="625"/>
      <c r="F30" s="648" t="s">
        <v>2</v>
      </c>
      <c r="G30" s="630"/>
      <c r="H30" s="629"/>
      <c r="I30" s="629"/>
      <c r="J30" s="631"/>
    </row>
    <row r="31" spans="1:10" s="359" customFormat="1" ht="39.75" customHeight="1">
      <c r="A31" s="286"/>
      <c r="B31" s="642"/>
      <c r="C31" s="643"/>
      <c r="D31" s="644"/>
      <c r="E31" s="643"/>
      <c r="F31" s="645" t="s">
        <v>146</v>
      </c>
      <c r="G31" s="646"/>
      <c r="H31" s="645"/>
      <c r="I31" s="645"/>
      <c r="J31" s="651"/>
    </row>
    <row r="32" spans="1:15" s="342" customFormat="1" ht="30" customHeight="1">
      <c r="A32" s="286"/>
      <c r="B32" s="632"/>
      <c r="C32" s="625"/>
      <c r="D32" s="625"/>
      <c r="E32" s="625"/>
      <c r="F32" s="648" t="s">
        <v>152</v>
      </c>
      <c r="G32" s="650">
        <v>0</v>
      </c>
      <c r="H32" s="648">
        <v>0</v>
      </c>
      <c r="I32" s="648">
        <v>0</v>
      </c>
      <c r="J32" s="649">
        <v>0</v>
      </c>
      <c r="K32" s="360"/>
      <c r="L32" s="360"/>
      <c r="M32" s="360"/>
      <c r="N32" s="360"/>
      <c r="O32" s="360"/>
    </row>
    <row r="33" spans="1:10" s="359" customFormat="1" ht="39.75" customHeight="1" thickBot="1">
      <c r="A33" s="286"/>
      <c r="B33" s="652"/>
      <c r="C33" s="653"/>
      <c r="D33" s="654"/>
      <c r="E33" s="653"/>
      <c r="F33" s="655" t="s">
        <v>180</v>
      </c>
      <c r="G33" s="655">
        <f>G31+G27</f>
        <v>986374</v>
      </c>
      <c r="H33" s="655">
        <f>H31+H27</f>
        <v>7760725</v>
      </c>
      <c r="I33" s="655">
        <f>I31+I27</f>
        <v>5970665</v>
      </c>
      <c r="J33" s="656">
        <f>J31+J27</f>
        <v>5671695.785962058</v>
      </c>
    </row>
    <row r="34" spans="2:10" ht="17.25" thickTop="1">
      <c r="B34" s="361"/>
      <c r="C34" s="362"/>
      <c r="D34" s="362"/>
      <c r="E34" s="362"/>
      <c r="F34" s="287"/>
      <c r="G34" s="354"/>
      <c r="H34" s="287"/>
      <c r="I34" s="287"/>
      <c r="J34" s="287"/>
    </row>
    <row r="35" spans="2:9" ht="16.5">
      <c r="B35" s="361"/>
      <c r="C35" s="362"/>
      <c r="D35" s="362"/>
      <c r="E35" s="362"/>
      <c r="F35" s="287"/>
      <c r="G35" s="354"/>
      <c r="H35" s="287"/>
      <c r="I35" s="287"/>
    </row>
    <row r="36" spans="2:9" ht="16.5">
      <c r="B36" s="361"/>
      <c r="C36" s="362"/>
      <c r="D36" s="362"/>
      <c r="E36" s="362"/>
      <c r="F36" s="287"/>
      <c r="G36" s="354"/>
      <c r="H36" s="287"/>
      <c r="I36" s="287"/>
    </row>
    <row r="37" spans="2:9" ht="16.5">
      <c r="B37" s="361"/>
      <c r="C37" s="362"/>
      <c r="D37" s="362"/>
      <c r="E37" s="362"/>
      <c r="F37" s="287"/>
      <c r="G37" s="354"/>
      <c r="H37" s="287"/>
      <c r="I37" s="287"/>
    </row>
    <row r="38" spans="2:9" ht="17.25">
      <c r="B38" s="363"/>
      <c r="C38" s="364"/>
      <c r="D38" s="362"/>
      <c r="E38" s="364"/>
      <c r="F38" s="352"/>
      <c r="G38" s="355"/>
      <c r="H38" s="352"/>
      <c r="I38" s="352"/>
    </row>
    <row r="39" spans="2:9" ht="16.5">
      <c r="B39" s="361"/>
      <c r="C39" s="362"/>
      <c r="D39" s="362"/>
      <c r="E39" s="362"/>
      <c r="F39" s="287"/>
      <c r="G39" s="354"/>
      <c r="H39" s="287"/>
      <c r="I39" s="287"/>
    </row>
    <row r="40" spans="2:9" ht="16.5">
      <c r="B40" s="361"/>
      <c r="C40" s="362"/>
      <c r="D40" s="362"/>
      <c r="E40" s="362"/>
      <c r="F40" s="287"/>
      <c r="G40" s="354"/>
      <c r="H40" s="287"/>
      <c r="I40" s="287"/>
    </row>
    <row r="49" spans="1:15" s="353" customFormat="1" ht="17.25">
      <c r="A49" s="251"/>
      <c r="B49" s="367"/>
      <c r="C49" s="368"/>
      <c r="D49" s="366"/>
      <c r="E49" s="368"/>
      <c r="G49" s="369"/>
      <c r="K49" s="352"/>
      <c r="L49" s="352"/>
      <c r="M49" s="352"/>
      <c r="N49" s="352"/>
      <c r="O49" s="352"/>
    </row>
    <row r="54" spans="1:15" s="353" customFormat="1" ht="17.25">
      <c r="A54" s="251"/>
      <c r="B54" s="367"/>
      <c r="C54" s="368"/>
      <c r="D54" s="366"/>
      <c r="E54" s="368"/>
      <c r="G54" s="369"/>
      <c r="K54" s="352"/>
      <c r="L54" s="352"/>
      <c r="M54" s="352"/>
      <c r="N54" s="352"/>
      <c r="O54" s="352"/>
    </row>
    <row r="56" spans="1:15" s="353" customFormat="1" ht="17.25">
      <c r="A56" s="251"/>
      <c r="B56" s="367"/>
      <c r="C56" s="368"/>
      <c r="D56" s="366"/>
      <c r="E56" s="368"/>
      <c r="G56" s="369"/>
      <c r="K56" s="352"/>
      <c r="L56" s="352"/>
      <c r="M56" s="352"/>
      <c r="N56" s="352"/>
      <c r="O56" s="352"/>
    </row>
    <row r="63" ht="16.5">
      <c r="F63" s="287"/>
    </row>
    <row r="64" ht="16.5">
      <c r="F64" s="287"/>
    </row>
    <row r="65" ht="16.5">
      <c r="F65" s="287"/>
    </row>
    <row r="66" ht="16.5">
      <c r="F66" s="287"/>
    </row>
    <row r="67" ht="16.5">
      <c r="F67" s="287"/>
    </row>
    <row r="68" ht="16.5">
      <c r="F68" s="287"/>
    </row>
    <row r="69" ht="16.5">
      <c r="F69" s="287"/>
    </row>
  </sheetData>
  <sheetProtection/>
  <mergeCells count="5">
    <mergeCell ref="B1:F1"/>
    <mergeCell ref="I4:J4"/>
    <mergeCell ref="K3:O3"/>
    <mergeCell ref="B2:J2"/>
    <mergeCell ref="B3:J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T41"/>
  <sheetViews>
    <sheetView view="pageBreakPreview" zoomScaleSheetLayoutView="100" zoomScalePageLayoutView="0" workbookViewId="0" topLeftCell="E1">
      <selection activeCell="L12" sqref="L12:N12"/>
    </sheetView>
  </sheetViews>
  <sheetFormatPr defaultColWidth="9.00390625" defaultRowHeight="12.75"/>
  <cols>
    <col min="1" max="1" width="2.75390625" style="240" bestFit="1" customWidth="1"/>
    <col min="2" max="2" width="4.125" style="26" customWidth="1"/>
    <col min="3" max="3" width="5.75390625" style="26" bestFit="1" customWidth="1"/>
    <col min="4" max="4" width="50.75390625" style="23" customWidth="1"/>
    <col min="5" max="7" width="10.75390625" style="28" customWidth="1"/>
    <col min="8" max="8" width="15.75390625" style="35" customWidth="1"/>
    <col min="9" max="17" width="12.75390625" style="23" customWidth="1"/>
    <col min="18" max="16384" width="9.125" style="23" customWidth="1"/>
  </cols>
  <sheetData>
    <row r="1" spans="2:8" ht="15" customHeight="1">
      <c r="B1" s="64" t="s">
        <v>322</v>
      </c>
      <c r="C1" s="64"/>
      <c r="D1" s="241"/>
      <c r="H1" s="242"/>
    </row>
    <row r="2" spans="1:17" s="29" customFormat="1" ht="24.75" customHeight="1">
      <c r="A2" s="240"/>
      <c r="B2" s="690" t="s">
        <v>227</v>
      </c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</row>
    <row r="3" spans="1:17" s="29" customFormat="1" ht="24.75" customHeight="1">
      <c r="A3" s="240"/>
      <c r="B3" s="690" t="s">
        <v>193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</row>
    <row r="4" spans="9:17" ht="15">
      <c r="I4" s="15"/>
      <c r="J4" s="15"/>
      <c r="K4" s="15"/>
      <c r="L4" s="15"/>
      <c r="M4" s="15"/>
      <c r="N4" s="15"/>
      <c r="Q4" s="88" t="s">
        <v>147</v>
      </c>
    </row>
    <row r="5" spans="1:17" s="33" customFormat="1" ht="15.75" thickBot="1">
      <c r="A5" s="240"/>
      <c r="B5" s="240" t="s">
        <v>154</v>
      </c>
      <c r="C5" s="240" t="s">
        <v>155</v>
      </c>
      <c r="D5" s="33" t="s">
        <v>156</v>
      </c>
      <c r="E5" s="25" t="s">
        <v>157</v>
      </c>
      <c r="F5" s="25" t="s">
        <v>158</v>
      </c>
      <c r="G5" s="25" t="s">
        <v>159</v>
      </c>
      <c r="H5" s="215" t="s">
        <v>160</v>
      </c>
      <c r="I5" s="12" t="s">
        <v>122</v>
      </c>
      <c r="J5" s="12" t="s">
        <v>123</v>
      </c>
      <c r="K5" s="12" t="s">
        <v>44</v>
      </c>
      <c r="L5" s="12" t="s">
        <v>45</v>
      </c>
      <c r="M5" s="12" t="s">
        <v>46</v>
      </c>
      <c r="N5" s="12" t="s">
        <v>47</v>
      </c>
      <c r="O5" s="33" t="s">
        <v>48</v>
      </c>
      <c r="P5" s="33" t="s">
        <v>79</v>
      </c>
      <c r="Q5" s="33" t="s">
        <v>80</v>
      </c>
    </row>
    <row r="6" spans="1:17" s="33" customFormat="1" ht="30" customHeight="1" thickTop="1">
      <c r="A6" s="240"/>
      <c r="B6" s="691" t="s">
        <v>210</v>
      </c>
      <c r="C6" s="685" t="s">
        <v>198</v>
      </c>
      <c r="D6" s="683" t="s">
        <v>148</v>
      </c>
      <c r="E6" s="694" t="s">
        <v>115</v>
      </c>
      <c r="F6" s="694" t="s">
        <v>196</v>
      </c>
      <c r="G6" s="694" t="s">
        <v>197</v>
      </c>
      <c r="H6" s="677" t="s">
        <v>111</v>
      </c>
      <c r="I6" s="687" t="s">
        <v>113</v>
      </c>
      <c r="J6" s="687"/>
      <c r="K6" s="687"/>
      <c r="L6" s="688" t="s">
        <v>114</v>
      </c>
      <c r="M6" s="688"/>
      <c r="N6" s="688"/>
      <c r="O6" s="688" t="s">
        <v>50</v>
      </c>
      <c r="P6" s="688" t="s">
        <v>49</v>
      </c>
      <c r="Q6" s="689"/>
    </row>
    <row r="7" spans="2:17" ht="45" customHeight="1">
      <c r="B7" s="692"/>
      <c r="C7" s="686"/>
      <c r="D7" s="684"/>
      <c r="E7" s="695"/>
      <c r="F7" s="695"/>
      <c r="G7" s="695"/>
      <c r="H7" s="678"/>
      <c r="I7" s="562" t="s">
        <v>165</v>
      </c>
      <c r="J7" s="562" t="s">
        <v>112</v>
      </c>
      <c r="K7" s="562" t="s">
        <v>128</v>
      </c>
      <c r="L7" s="562" t="s">
        <v>51</v>
      </c>
      <c r="M7" s="562" t="s">
        <v>52</v>
      </c>
      <c r="N7" s="562" t="s">
        <v>63</v>
      </c>
      <c r="O7" s="693"/>
      <c r="P7" s="562" t="s">
        <v>146</v>
      </c>
      <c r="Q7" s="612" t="s">
        <v>145</v>
      </c>
    </row>
    <row r="8" spans="2:17" ht="15">
      <c r="B8" s="588"/>
      <c r="C8" s="605"/>
      <c r="D8" s="606" t="s">
        <v>319</v>
      </c>
      <c r="E8" s="591">
        <f>61361+259957</f>
        <v>321318</v>
      </c>
      <c r="F8" s="591">
        <f>235140+1482724</f>
        <v>1717864</v>
      </c>
      <c r="G8" s="591">
        <f>468071+861875</f>
        <v>1329946</v>
      </c>
      <c r="H8" s="592">
        <f>SUM(I8:Q8)</f>
        <v>1143684.4314620583</v>
      </c>
      <c r="I8" s="608">
        <f>'10. Tábla'!I60+'10. Tábla'!I64+'10. Tábla'!H58</f>
        <v>186627.59402205827</v>
      </c>
      <c r="J8" s="613"/>
      <c r="K8" s="613"/>
      <c r="L8" s="613">
        <f>'10. Tábla'!G121-'10. Tábla'!I60+'10. Tábla'!I87+'10. Tábla'!G124-229-'10. Tábla'!H58</f>
        <v>957056.8374400001</v>
      </c>
      <c r="M8" s="613"/>
      <c r="N8" s="613"/>
      <c r="O8" s="613"/>
      <c r="P8" s="613"/>
      <c r="Q8" s="593"/>
    </row>
    <row r="9" spans="2:17" ht="15">
      <c r="B9" s="588"/>
      <c r="C9" s="605"/>
      <c r="D9" s="606" t="s">
        <v>315</v>
      </c>
      <c r="E9" s="591">
        <v>276</v>
      </c>
      <c r="F9" s="591">
        <v>6310</v>
      </c>
      <c r="G9" s="591">
        <f>1699+50</f>
        <v>1749</v>
      </c>
      <c r="H9" s="592">
        <f>SUM(I9:Q9)</f>
        <v>4561.865</v>
      </c>
      <c r="I9" s="608"/>
      <c r="J9" s="573"/>
      <c r="K9" s="573"/>
      <c r="L9" s="573"/>
      <c r="M9" s="573"/>
      <c r="N9" s="573">
        <f>'8. Mérleg'!C14</f>
        <v>4561.865</v>
      </c>
      <c r="O9" s="573"/>
      <c r="P9" s="573"/>
      <c r="Q9" s="593"/>
    </row>
    <row r="10" spans="2:17" ht="15">
      <c r="B10" s="588"/>
      <c r="C10" s="605"/>
      <c r="D10" s="606" t="s">
        <v>316</v>
      </c>
      <c r="E10" s="591">
        <v>436738</v>
      </c>
      <c r="F10" s="591">
        <v>5858802</v>
      </c>
      <c r="G10" s="591">
        <v>4470872</v>
      </c>
      <c r="H10" s="592">
        <f>SUM(I10:Q10)</f>
        <v>4496110.9895</v>
      </c>
      <c r="I10" s="573"/>
      <c r="J10" s="573"/>
      <c r="K10" s="573"/>
      <c r="L10" s="573"/>
      <c r="M10" s="573">
        <f>'8. Mérleg'!C12</f>
        <v>4496110.9895</v>
      </c>
      <c r="N10" s="573"/>
      <c r="O10" s="573"/>
      <c r="P10" s="573"/>
      <c r="Q10" s="593"/>
    </row>
    <row r="11" spans="2:17" ht="15">
      <c r="B11" s="588"/>
      <c r="C11" s="605"/>
      <c r="D11" s="606" t="s">
        <v>261</v>
      </c>
      <c r="E11" s="591">
        <f>177749+228376+23694+334+3660-27382+1</f>
        <v>406432</v>
      </c>
      <c r="F11" s="591">
        <v>177749</v>
      </c>
      <c r="G11" s="591">
        <f>174395+2830</f>
        <v>177225</v>
      </c>
      <c r="H11" s="592">
        <f>SUM(I11:Q11)</f>
        <v>27339</v>
      </c>
      <c r="I11" s="573"/>
      <c r="J11" s="573"/>
      <c r="K11" s="573"/>
      <c r="L11" s="573"/>
      <c r="M11" s="573"/>
      <c r="N11" s="573"/>
      <c r="O11" s="573">
        <f>'10. Tábla'!G126</f>
        <v>27339</v>
      </c>
      <c r="P11" s="573"/>
      <c r="Q11" s="593"/>
    </row>
    <row r="12" spans="1:20" s="29" customFormat="1" ht="33" customHeight="1" thickBot="1">
      <c r="A12" s="243"/>
      <c r="B12" s="614"/>
      <c r="C12" s="681" t="s">
        <v>209</v>
      </c>
      <c r="D12" s="681"/>
      <c r="E12" s="610">
        <f aca="true" t="shared" si="0" ref="E12:Q12">SUM(E8:E11)</f>
        <v>1164764</v>
      </c>
      <c r="F12" s="610">
        <f t="shared" si="0"/>
        <v>7760725</v>
      </c>
      <c r="G12" s="610">
        <f t="shared" si="0"/>
        <v>5979792</v>
      </c>
      <c r="H12" s="610">
        <f t="shared" si="0"/>
        <v>5671696.285962058</v>
      </c>
      <c r="I12" s="610">
        <f t="shared" si="0"/>
        <v>186627.59402205827</v>
      </c>
      <c r="J12" s="610">
        <f t="shared" si="0"/>
        <v>0</v>
      </c>
      <c r="K12" s="610">
        <f t="shared" si="0"/>
        <v>0</v>
      </c>
      <c r="L12" s="610">
        <f t="shared" si="0"/>
        <v>957056.8374400001</v>
      </c>
      <c r="M12" s="610">
        <f t="shared" si="0"/>
        <v>4496110.9895</v>
      </c>
      <c r="N12" s="610">
        <f t="shared" si="0"/>
        <v>4561.865</v>
      </c>
      <c r="O12" s="610">
        <f t="shared" si="0"/>
        <v>27339</v>
      </c>
      <c r="P12" s="610">
        <f t="shared" si="0"/>
        <v>0</v>
      </c>
      <c r="Q12" s="611">
        <f t="shared" si="0"/>
        <v>0</v>
      </c>
      <c r="R12" s="23"/>
      <c r="S12" s="30"/>
      <c r="T12" s="30"/>
    </row>
    <row r="13" spans="1:20" ht="15" hidden="1">
      <c r="A13" s="240">
        <v>15</v>
      </c>
      <c r="B13" s="36"/>
      <c r="C13" s="37">
        <v>7</v>
      </c>
      <c r="D13" s="8" t="s">
        <v>15</v>
      </c>
      <c r="E13" s="31">
        <v>23700</v>
      </c>
      <c r="F13" s="31"/>
      <c r="G13" s="31"/>
      <c r="H13" s="20"/>
      <c r="I13" s="15"/>
      <c r="J13" s="15"/>
      <c r="K13" s="15"/>
      <c r="L13" s="15"/>
      <c r="M13" s="15"/>
      <c r="N13" s="15"/>
      <c r="R13" s="23">
        <f aca="true" t="shared" si="1" ref="R13:R41">(SUM(I13:P13))-H13</f>
        <v>0</v>
      </c>
      <c r="S13" s="15"/>
      <c r="T13" s="15"/>
    </row>
    <row r="14" spans="1:20" ht="15" hidden="1">
      <c r="A14" s="240">
        <v>16</v>
      </c>
      <c r="B14" s="36"/>
      <c r="C14" s="37">
        <v>8</v>
      </c>
      <c r="D14" s="8" t="s">
        <v>16</v>
      </c>
      <c r="E14" s="31">
        <v>23854</v>
      </c>
      <c r="F14" s="31"/>
      <c r="G14" s="31"/>
      <c r="H14" s="20"/>
      <c r="I14" s="15"/>
      <c r="J14" s="15"/>
      <c r="K14" s="15"/>
      <c r="L14" s="15"/>
      <c r="M14" s="15"/>
      <c r="N14" s="15"/>
      <c r="R14" s="23">
        <f t="shared" si="1"/>
        <v>0</v>
      </c>
      <c r="S14" s="15"/>
      <c r="T14" s="15"/>
    </row>
    <row r="15" spans="1:20" ht="15" hidden="1">
      <c r="A15" s="240">
        <v>17</v>
      </c>
      <c r="B15" s="36"/>
      <c r="C15" s="37">
        <v>9</v>
      </c>
      <c r="D15" s="8" t="s">
        <v>17</v>
      </c>
      <c r="E15" s="31">
        <v>26145</v>
      </c>
      <c r="F15" s="31"/>
      <c r="G15" s="31"/>
      <c r="H15" s="20"/>
      <c r="I15" s="15"/>
      <c r="J15" s="15"/>
      <c r="K15" s="15"/>
      <c r="L15" s="15"/>
      <c r="M15" s="15"/>
      <c r="N15" s="15"/>
      <c r="R15" s="23">
        <f t="shared" si="1"/>
        <v>0</v>
      </c>
      <c r="S15" s="15"/>
      <c r="T15" s="15"/>
    </row>
    <row r="16" spans="1:20" ht="15" hidden="1">
      <c r="A16" s="240">
        <v>18</v>
      </c>
      <c r="B16" s="36"/>
      <c r="C16" s="37">
        <v>10</v>
      </c>
      <c r="D16" s="8" t="s">
        <v>18</v>
      </c>
      <c r="E16" s="31">
        <v>35582</v>
      </c>
      <c r="F16" s="31"/>
      <c r="G16" s="31"/>
      <c r="H16" s="20"/>
      <c r="I16" s="15"/>
      <c r="J16" s="15"/>
      <c r="K16" s="15"/>
      <c r="L16" s="15"/>
      <c r="M16" s="15"/>
      <c r="N16" s="15"/>
      <c r="R16" s="23">
        <f t="shared" si="1"/>
        <v>0</v>
      </c>
      <c r="S16" s="15"/>
      <c r="T16" s="15"/>
    </row>
    <row r="17" spans="1:20" ht="15" hidden="1">
      <c r="A17" s="240">
        <v>19</v>
      </c>
      <c r="B17" s="36"/>
      <c r="C17" s="37">
        <v>11</v>
      </c>
      <c r="D17" s="8" t="s">
        <v>19</v>
      </c>
      <c r="E17" s="31">
        <v>31340</v>
      </c>
      <c r="F17" s="31"/>
      <c r="G17" s="31"/>
      <c r="H17" s="20"/>
      <c r="I17" s="15"/>
      <c r="J17" s="15"/>
      <c r="K17" s="15"/>
      <c r="L17" s="15"/>
      <c r="M17" s="15"/>
      <c r="N17" s="15"/>
      <c r="R17" s="23">
        <f t="shared" si="1"/>
        <v>0</v>
      </c>
      <c r="S17" s="15"/>
      <c r="T17" s="15"/>
    </row>
    <row r="18" spans="1:20" s="45" customFormat="1" ht="15" hidden="1">
      <c r="A18" s="240">
        <v>20</v>
      </c>
      <c r="B18" s="42"/>
      <c r="C18" s="37"/>
      <c r="D18" s="9" t="s">
        <v>20</v>
      </c>
      <c r="E18" s="265">
        <v>0</v>
      </c>
      <c r="F18" s="265"/>
      <c r="G18" s="265"/>
      <c r="H18" s="219"/>
      <c r="I18" s="43"/>
      <c r="J18" s="43"/>
      <c r="K18" s="43"/>
      <c r="L18" s="43"/>
      <c r="M18" s="43"/>
      <c r="N18" s="43"/>
      <c r="R18" s="23">
        <f t="shared" si="1"/>
        <v>0</v>
      </c>
      <c r="S18" s="43"/>
      <c r="T18" s="43"/>
    </row>
    <row r="19" spans="1:20" ht="15" hidden="1">
      <c r="A19" s="240">
        <v>21</v>
      </c>
      <c r="B19" s="36"/>
      <c r="C19" s="37">
        <v>12</v>
      </c>
      <c r="D19" s="8" t="s">
        <v>21</v>
      </c>
      <c r="E19" s="31">
        <v>24585</v>
      </c>
      <c r="F19" s="31"/>
      <c r="G19" s="31"/>
      <c r="H19" s="20"/>
      <c r="I19" s="15"/>
      <c r="J19" s="15"/>
      <c r="K19" s="15"/>
      <c r="L19" s="15"/>
      <c r="M19" s="15"/>
      <c r="N19" s="15"/>
      <c r="R19" s="23">
        <f t="shared" si="1"/>
        <v>0</v>
      </c>
      <c r="S19" s="15"/>
      <c r="T19" s="15"/>
    </row>
    <row r="20" spans="1:20" ht="15" hidden="1">
      <c r="A20" s="240">
        <v>22</v>
      </c>
      <c r="B20" s="36"/>
      <c r="C20" s="37">
        <v>13</v>
      </c>
      <c r="D20" s="46" t="s">
        <v>181</v>
      </c>
      <c r="E20" s="31">
        <v>20009</v>
      </c>
      <c r="F20" s="31"/>
      <c r="G20" s="31"/>
      <c r="H20" s="20"/>
      <c r="I20" s="15"/>
      <c r="J20" s="15"/>
      <c r="K20" s="15"/>
      <c r="L20" s="15"/>
      <c r="M20" s="15"/>
      <c r="N20" s="15"/>
      <c r="R20" s="23">
        <f t="shared" si="1"/>
        <v>0</v>
      </c>
      <c r="S20" s="15"/>
      <c r="T20" s="15"/>
    </row>
    <row r="21" spans="1:20" ht="15" hidden="1">
      <c r="A21" s="240">
        <v>23</v>
      </c>
      <c r="B21" s="36"/>
      <c r="C21" s="37">
        <v>14</v>
      </c>
      <c r="D21" s="8" t="s">
        <v>22</v>
      </c>
      <c r="E21" s="31">
        <v>24245</v>
      </c>
      <c r="F21" s="31"/>
      <c r="G21" s="31"/>
      <c r="H21" s="20"/>
      <c r="I21" s="15"/>
      <c r="J21" s="15"/>
      <c r="K21" s="15"/>
      <c r="L21" s="15"/>
      <c r="M21" s="15"/>
      <c r="N21" s="15"/>
      <c r="R21" s="23">
        <f t="shared" si="1"/>
        <v>0</v>
      </c>
      <c r="S21" s="15"/>
      <c r="T21" s="15"/>
    </row>
    <row r="22" spans="1:20" ht="15" hidden="1">
      <c r="A22" s="240">
        <v>24</v>
      </c>
      <c r="B22" s="36"/>
      <c r="C22" s="37">
        <v>15</v>
      </c>
      <c r="D22" s="46" t="s">
        <v>23</v>
      </c>
      <c r="E22" s="31">
        <v>10368</v>
      </c>
      <c r="F22" s="31"/>
      <c r="G22" s="31"/>
      <c r="H22" s="20"/>
      <c r="I22" s="15"/>
      <c r="J22" s="15"/>
      <c r="K22" s="15"/>
      <c r="L22" s="15"/>
      <c r="M22" s="15"/>
      <c r="N22" s="15"/>
      <c r="R22" s="23">
        <f t="shared" si="1"/>
        <v>0</v>
      </c>
      <c r="S22" s="15"/>
      <c r="T22" s="15"/>
    </row>
    <row r="23" spans="1:20" ht="15" hidden="1">
      <c r="A23" s="240">
        <v>26</v>
      </c>
      <c r="B23" s="36"/>
      <c r="C23" s="37">
        <v>16</v>
      </c>
      <c r="D23" s="46" t="s">
        <v>24</v>
      </c>
      <c r="E23" s="31">
        <v>13532</v>
      </c>
      <c r="F23" s="31"/>
      <c r="G23" s="31"/>
      <c r="H23" s="20"/>
      <c r="I23" s="15"/>
      <c r="J23" s="15"/>
      <c r="K23" s="15"/>
      <c r="L23" s="15"/>
      <c r="M23" s="15"/>
      <c r="N23" s="15"/>
      <c r="R23" s="23">
        <f t="shared" si="1"/>
        <v>0</v>
      </c>
      <c r="S23" s="15"/>
      <c r="T23" s="15"/>
    </row>
    <row r="24" spans="1:20" ht="15" hidden="1">
      <c r="A24" s="240">
        <v>27</v>
      </c>
      <c r="B24" s="36"/>
      <c r="C24" s="37">
        <v>17</v>
      </c>
      <c r="D24" s="8" t="s">
        <v>25</v>
      </c>
      <c r="E24" s="31">
        <v>9120</v>
      </c>
      <c r="F24" s="31"/>
      <c r="G24" s="31"/>
      <c r="H24" s="20"/>
      <c r="I24" s="15"/>
      <c r="J24" s="15"/>
      <c r="K24" s="15"/>
      <c r="L24" s="15"/>
      <c r="M24" s="15"/>
      <c r="N24" s="15"/>
      <c r="R24" s="23">
        <f t="shared" si="1"/>
        <v>0</v>
      </c>
      <c r="S24" s="15"/>
      <c r="T24" s="15"/>
    </row>
    <row r="25" spans="1:20" s="41" customFormat="1" ht="30" customHeight="1" hidden="1">
      <c r="A25" s="240">
        <v>28</v>
      </c>
      <c r="B25" s="38"/>
      <c r="C25" s="39"/>
      <c r="D25" s="39" t="s">
        <v>26</v>
      </c>
      <c r="E25" s="262">
        <f>SUM(E13:E17,E19:E24)</f>
        <v>242480</v>
      </c>
      <c r="F25" s="262">
        <f>SUM(F13:F17,F19:F24)</f>
        <v>0</v>
      </c>
      <c r="G25" s="262">
        <f>SUM(G13:G17,G19:G24)</f>
        <v>0</v>
      </c>
      <c r="H25" s="220">
        <f>SUM(H13:H17,H19:H24)</f>
        <v>0</v>
      </c>
      <c r="I25" s="40"/>
      <c r="J25" s="40"/>
      <c r="K25" s="40"/>
      <c r="L25" s="40"/>
      <c r="M25" s="40"/>
      <c r="N25" s="40"/>
      <c r="R25" s="23">
        <f t="shared" si="1"/>
        <v>0</v>
      </c>
      <c r="S25" s="40"/>
      <c r="T25" s="40"/>
    </row>
    <row r="26" spans="1:20" s="29" customFormat="1" ht="24.75" customHeight="1" hidden="1">
      <c r="A26" s="240">
        <v>30</v>
      </c>
      <c r="B26" s="47"/>
      <c r="C26" s="48">
        <v>18</v>
      </c>
      <c r="D26" s="49" t="s">
        <v>27</v>
      </c>
      <c r="E26" s="263">
        <v>271</v>
      </c>
      <c r="F26" s="263"/>
      <c r="G26" s="263"/>
      <c r="H26" s="214"/>
      <c r="I26" s="30"/>
      <c r="J26" s="30"/>
      <c r="K26" s="30"/>
      <c r="L26" s="30"/>
      <c r="M26" s="30"/>
      <c r="N26" s="30"/>
      <c r="R26" s="23">
        <f t="shared" si="1"/>
        <v>0</v>
      </c>
      <c r="S26" s="30"/>
      <c r="T26" s="30"/>
    </row>
    <row r="27" spans="1:20" s="29" customFormat="1" ht="30" customHeight="1" hidden="1">
      <c r="A27" s="240">
        <v>37</v>
      </c>
      <c r="B27" s="51"/>
      <c r="C27" s="52">
        <v>23</v>
      </c>
      <c r="D27" s="53" t="s">
        <v>28</v>
      </c>
      <c r="E27" s="266">
        <v>9091</v>
      </c>
      <c r="F27" s="266"/>
      <c r="G27" s="266"/>
      <c r="H27" s="221"/>
      <c r="I27" s="30"/>
      <c r="J27" s="30"/>
      <c r="K27" s="30"/>
      <c r="L27" s="30"/>
      <c r="M27" s="30"/>
      <c r="N27" s="30"/>
      <c r="R27" s="23">
        <f t="shared" si="1"/>
        <v>0</v>
      </c>
      <c r="S27" s="30"/>
      <c r="T27" s="30"/>
    </row>
    <row r="28" spans="1:20" ht="30" customHeight="1" hidden="1">
      <c r="A28" s="240">
        <v>39</v>
      </c>
      <c r="B28" s="36"/>
      <c r="C28" s="682" t="s">
        <v>30</v>
      </c>
      <c r="D28" s="682"/>
      <c r="E28" s="31"/>
      <c r="F28" s="31"/>
      <c r="G28" s="31"/>
      <c r="H28" s="20"/>
      <c r="I28" s="15"/>
      <c r="J28" s="15"/>
      <c r="K28" s="15"/>
      <c r="L28" s="15"/>
      <c r="M28" s="15"/>
      <c r="N28" s="15"/>
      <c r="R28" s="23">
        <f t="shared" si="1"/>
        <v>0</v>
      </c>
      <c r="S28" s="15"/>
      <c r="T28" s="15"/>
    </row>
    <row r="29" spans="1:20" ht="15" hidden="1">
      <c r="A29" s="240">
        <v>40</v>
      </c>
      <c r="B29" s="370">
        <v>2</v>
      </c>
      <c r="C29" s="71"/>
      <c r="D29" s="8" t="s">
        <v>31</v>
      </c>
      <c r="E29" s="31">
        <v>98348</v>
      </c>
      <c r="F29" s="31"/>
      <c r="G29" s="31"/>
      <c r="H29" s="20"/>
      <c r="I29" s="15"/>
      <c r="J29" s="15"/>
      <c r="K29" s="15"/>
      <c r="L29" s="15"/>
      <c r="M29" s="15"/>
      <c r="N29" s="15"/>
      <c r="R29" s="23">
        <f t="shared" si="1"/>
        <v>0</v>
      </c>
      <c r="S29" s="15"/>
      <c r="T29" s="15"/>
    </row>
    <row r="30" spans="1:20" ht="15" hidden="1">
      <c r="A30" s="240">
        <v>41</v>
      </c>
      <c r="B30" s="370">
        <v>3</v>
      </c>
      <c r="C30" s="71"/>
      <c r="D30" s="8" t="s">
        <v>32</v>
      </c>
      <c r="E30" s="31">
        <v>27101</v>
      </c>
      <c r="F30" s="31"/>
      <c r="G30" s="31"/>
      <c r="H30" s="20"/>
      <c r="I30" s="15"/>
      <c r="J30" s="15"/>
      <c r="K30" s="15"/>
      <c r="L30" s="15"/>
      <c r="M30" s="15"/>
      <c r="N30" s="15"/>
      <c r="R30" s="23">
        <f t="shared" si="1"/>
        <v>0</v>
      </c>
      <c r="S30" s="15"/>
      <c r="T30" s="15"/>
    </row>
    <row r="31" spans="1:20" ht="15" hidden="1">
      <c r="A31" s="240">
        <v>42</v>
      </c>
      <c r="B31" s="370">
        <v>4</v>
      </c>
      <c r="C31" s="71"/>
      <c r="D31" s="8" t="s">
        <v>33</v>
      </c>
      <c r="E31" s="31">
        <v>29734</v>
      </c>
      <c r="F31" s="31"/>
      <c r="G31" s="31"/>
      <c r="H31" s="20"/>
      <c r="I31" s="15"/>
      <c r="J31" s="15"/>
      <c r="K31" s="15"/>
      <c r="L31" s="15"/>
      <c r="M31" s="15"/>
      <c r="N31" s="15"/>
      <c r="R31" s="23">
        <f t="shared" si="1"/>
        <v>0</v>
      </c>
      <c r="S31" s="15"/>
      <c r="T31" s="15"/>
    </row>
    <row r="32" spans="1:20" ht="30" hidden="1">
      <c r="A32" s="240">
        <v>43</v>
      </c>
      <c r="B32" s="370">
        <v>5</v>
      </c>
      <c r="C32" s="71"/>
      <c r="D32" s="46" t="s">
        <v>34</v>
      </c>
      <c r="E32" s="31">
        <v>29930</v>
      </c>
      <c r="F32" s="31"/>
      <c r="G32" s="31"/>
      <c r="H32" s="20"/>
      <c r="I32" s="15"/>
      <c r="J32" s="15"/>
      <c r="K32" s="15"/>
      <c r="L32" s="15"/>
      <c r="M32" s="15"/>
      <c r="N32" s="15"/>
      <c r="R32" s="23">
        <f t="shared" si="1"/>
        <v>0</v>
      </c>
      <c r="S32" s="15"/>
      <c r="T32" s="15"/>
    </row>
    <row r="33" spans="1:20" ht="15" hidden="1">
      <c r="A33" s="240">
        <v>44</v>
      </c>
      <c r="B33" s="36">
        <v>6</v>
      </c>
      <c r="C33" s="71"/>
      <c r="D33" s="8" t="s">
        <v>35</v>
      </c>
      <c r="E33" s="31">
        <v>18187</v>
      </c>
      <c r="F33" s="31"/>
      <c r="G33" s="31"/>
      <c r="H33" s="20"/>
      <c r="I33" s="15"/>
      <c r="J33" s="15"/>
      <c r="K33" s="15"/>
      <c r="L33" s="15"/>
      <c r="M33" s="15"/>
      <c r="N33" s="15"/>
      <c r="R33" s="23">
        <f t="shared" si="1"/>
        <v>0</v>
      </c>
      <c r="S33" s="15"/>
      <c r="T33" s="15"/>
    </row>
    <row r="34" spans="1:20" s="55" customFormat="1" ht="30" customHeight="1" hidden="1">
      <c r="A34" s="240">
        <v>45</v>
      </c>
      <c r="B34" s="373">
        <v>7</v>
      </c>
      <c r="C34" s="376" t="s">
        <v>182</v>
      </c>
      <c r="D34" s="21"/>
      <c r="E34" s="267"/>
      <c r="F34" s="267"/>
      <c r="G34" s="267"/>
      <c r="H34" s="213"/>
      <c r="I34" s="21"/>
      <c r="J34" s="21"/>
      <c r="K34" s="21"/>
      <c r="L34" s="21"/>
      <c r="M34" s="21"/>
      <c r="N34" s="21"/>
      <c r="R34" s="23">
        <f t="shared" si="1"/>
        <v>0</v>
      </c>
      <c r="S34" s="21"/>
      <c r="T34" s="21"/>
    </row>
    <row r="35" spans="1:20" ht="15" hidden="1">
      <c r="A35" s="240">
        <v>46</v>
      </c>
      <c r="B35" s="36"/>
      <c r="C35" s="37">
        <v>1</v>
      </c>
      <c r="D35" s="8" t="s">
        <v>36</v>
      </c>
      <c r="E35" s="31">
        <v>6593</v>
      </c>
      <c r="F35" s="31"/>
      <c r="G35" s="31"/>
      <c r="H35" s="20"/>
      <c r="I35" s="15"/>
      <c r="J35" s="15"/>
      <c r="K35" s="15"/>
      <c r="L35" s="15"/>
      <c r="M35" s="15"/>
      <c r="N35" s="15"/>
      <c r="R35" s="23">
        <f t="shared" si="1"/>
        <v>0</v>
      </c>
      <c r="S35" s="15"/>
      <c r="T35" s="15"/>
    </row>
    <row r="36" spans="1:20" ht="30" hidden="1">
      <c r="A36" s="240">
        <v>47</v>
      </c>
      <c r="B36" s="36"/>
      <c r="C36" s="37">
        <v>2</v>
      </c>
      <c r="D36" s="46" t="s">
        <v>183</v>
      </c>
      <c r="E36" s="31">
        <v>5725</v>
      </c>
      <c r="F36" s="31"/>
      <c r="G36" s="31"/>
      <c r="H36" s="20"/>
      <c r="I36" s="15"/>
      <c r="J36" s="15"/>
      <c r="K36" s="15"/>
      <c r="L36" s="15"/>
      <c r="M36" s="15"/>
      <c r="N36" s="15"/>
      <c r="R36" s="23">
        <f t="shared" si="1"/>
        <v>0</v>
      </c>
      <c r="S36" s="15"/>
      <c r="T36" s="15"/>
    </row>
    <row r="37" spans="1:20" ht="15" hidden="1">
      <c r="A37" s="240">
        <v>48</v>
      </c>
      <c r="B37" s="36"/>
      <c r="C37" s="37">
        <v>3</v>
      </c>
      <c r="D37" s="46" t="s">
        <v>38</v>
      </c>
      <c r="E37" s="31">
        <v>15217</v>
      </c>
      <c r="F37" s="90"/>
      <c r="G37" s="31"/>
      <c r="H37" s="20"/>
      <c r="I37" s="15"/>
      <c r="J37" s="15"/>
      <c r="K37" s="15"/>
      <c r="L37" s="15"/>
      <c r="M37" s="15"/>
      <c r="N37" s="15"/>
      <c r="R37" s="23">
        <f t="shared" si="1"/>
        <v>0</v>
      </c>
      <c r="S37" s="15"/>
      <c r="T37" s="15"/>
    </row>
    <row r="38" spans="1:20" ht="30" hidden="1">
      <c r="A38" s="240">
        <v>49</v>
      </c>
      <c r="B38" s="36"/>
      <c r="C38" s="37">
        <v>4</v>
      </c>
      <c r="D38" s="46" t="s">
        <v>42</v>
      </c>
      <c r="E38" s="31">
        <v>4582</v>
      </c>
      <c r="F38" s="90"/>
      <c r="G38" s="31"/>
      <c r="H38" s="20"/>
      <c r="I38" s="15"/>
      <c r="J38" s="15"/>
      <c r="K38" s="15"/>
      <c r="L38" s="15"/>
      <c r="M38" s="15"/>
      <c r="N38" s="15"/>
      <c r="R38" s="23">
        <f t="shared" si="1"/>
        <v>0</v>
      </c>
      <c r="S38" s="15"/>
      <c r="T38" s="15"/>
    </row>
    <row r="39" spans="1:20" ht="15" hidden="1">
      <c r="A39" s="240">
        <v>50</v>
      </c>
      <c r="B39" s="56"/>
      <c r="C39" s="57">
        <v>5</v>
      </c>
      <c r="D39" s="58" t="s">
        <v>39</v>
      </c>
      <c r="E39" s="254">
        <v>30263</v>
      </c>
      <c r="F39" s="254"/>
      <c r="G39" s="254"/>
      <c r="H39" s="222"/>
      <c r="I39" s="15"/>
      <c r="J39" s="15"/>
      <c r="K39" s="15"/>
      <c r="L39" s="15"/>
      <c r="M39" s="15"/>
      <c r="N39" s="15"/>
      <c r="R39" s="23">
        <f t="shared" si="1"/>
        <v>0</v>
      </c>
      <c r="S39" s="15"/>
      <c r="T39" s="15"/>
    </row>
    <row r="40" spans="1:20" s="26" customFormat="1" ht="30" customHeight="1" hidden="1" thickBot="1">
      <c r="A40" s="240">
        <v>51</v>
      </c>
      <c r="B40" s="377">
        <v>7</v>
      </c>
      <c r="C40" s="680" t="s">
        <v>40</v>
      </c>
      <c r="D40" s="680"/>
      <c r="E40" s="268">
        <f>SUM(E35:E39)</f>
        <v>62380</v>
      </c>
      <c r="F40" s="268">
        <f>SUM(F35:F39)</f>
        <v>0</v>
      </c>
      <c r="G40" s="268">
        <f>SUM(G35:G39)</f>
        <v>0</v>
      </c>
      <c r="H40" s="59">
        <f>SUM(H35:H39)</f>
        <v>0</v>
      </c>
      <c r="I40" s="60"/>
      <c r="J40" s="60"/>
      <c r="K40" s="60"/>
      <c r="L40" s="60"/>
      <c r="M40" s="60"/>
      <c r="N40" s="60"/>
      <c r="R40" s="23">
        <f t="shared" si="1"/>
        <v>0</v>
      </c>
      <c r="S40" s="60"/>
      <c r="T40" s="60"/>
    </row>
    <row r="41" spans="1:20" s="29" customFormat="1" ht="30" customHeight="1" hidden="1" thickBot="1">
      <c r="A41" s="240">
        <v>52</v>
      </c>
      <c r="B41" s="378"/>
      <c r="C41" s="679" t="s">
        <v>41</v>
      </c>
      <c r="D41" s="679"/>
      <c r="E41" s="269">
        <f>SUM(E29:E39)</f>
        <v>265680</v>
      </c>
      <c r="F41" s="269">
        <f>SUM(F29:F39)</f>
        <v>0</v>
      </c>
      <c r="G41" s="269">
        <f>SUM(G29:G39)</f>
        <v>0</v>
      </c>
      <c r="H41" s="54">
        <f>SUM(H29:H39)</f>
        <v>0</v>
      </c>
      <c r="I41" s="30"/>
      <c r="J41" s="30"/>
      <c r="K41" s="30"/>
      <c r="L41" s="30"/>
      <c r="M41" s="30"/>
      <c r="N41" s="30"/>
      <c r="R41" s="23">
        <f t="shared" si="1"/>
        <v>0</v>
      </c>
      <c r="S41" s="30"/>
      <c r="T41" s="30"/>
    </row>
    <row r="42" ht="15.75" thickTop="1"/>
  </sheetData>
  <sheetProtection/>
  <mergeCells count="17">
    <mergeCell ref="I6:K6"/>
    <mergeCell ref="L6:N6"/>
    <mergeCell ref="P6:Q6"/>
    <mergeCell ref="B2:Q2"/>
    <mergeCell ref="B3:Q3"/>
    <mergeCell ref="B6:B7"/>
    <mergeCell ref="O6:O7"/>
    <mergeCell ref="F6:F7"/>
    <mergeCell ref="G6:G7"/>
    <mergeCell ref="E6:E7"/>
    <mergeCell ref="H6:H7"/>
    <mergeCell ref="C41:D41"/>
    <mergeCell ref="C40:D40"/>
    <mergeCell ref="C12:D12"/>
    <mergeCell ref="C28:D28"/>
    <mergeCell ref="D6:D7"/>
    <mergeCell ref="C6:C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zoomScalePageLayoutView="0" workbookViewId="0" topLeftCell="F1">
      <pane ySplit="7" topLeftCell="A8" activePane="bottomLeft" state="frozen"/>
      <selection pane="topLeft" activeCell="E19" sqref="E19"/>
      <selection pane="bottomLeft" activeCell="Q8" sqref="Q8:Q13"/>
    </sheetView>
  </sheetViews>
  <sheetFormatPr defaultColWidth="9.00390625" defaultRowHeight="12.75"/>
  <cols>
    <col min="1" max="1" width="2.75390625" style="240" bestFit="1" customWidth="1"/>
    <col min="2" max="2" width="4.00390625" style="26" customWidth="1"/>
    <col min="3" max="3" width="4.125" style="26" customWidth="1"/>
    <col min="4" max="4" width="50.75390625" style="23" customWidth="1"/>
    <col min="5" max="5" width="5.75390625" style="33" customWidth="1"/>
    <col min="6" max="8" width="10.75390625" style="28" customWidth="1"/>
    <col min="9" max="9" width="15.75390625" style="35" customWidth="1"/>
    <col min="10" max="17" width="13.75390625" style="23" customWidth="1"/>
    <col min="18" max="18" width="9.625" style="23" bestFit="1" customWidth="1"/>
    <col min="19" max="16384" width="9.125" style="23" customWidth="1"/>
  </cols>
  <sheetData>
    <row r="1" spans="2:7" ht="15">
      <c r="B1" s="700" t="s">
        <v>331</v>
      </c>
      <c r="C1" s="700"/>
      <c r="D1" s="700"/>
      <c r="E1" s="700"/>
      <c r="F1" s="700"/>
      <c r="G1" s="27"/>
    </row>
    <row r="2" spans="2:17" ht="24.75" customHeight="1">
      <c r="B2" s="701" t="s">
        <v>314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</row>
    <row r="3" spans="2:17" ht="24.75" customHeight="1">
      <c r="B3" s="701" t="s">
        <v>195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</row>
    <row r="4" spans="9:17" ht="15">
      <c r="I4" s="70"/>
      <c r="Q4" s="88" t="s">
        <v>147</v>
      </c>
    </row>
    <row r="5" spans="1:17" s="33" customFormat="1" ht="15.75" thickBot="1">
      <c r="A5" s="240"/>
      <c r="B5" s="240" t="s">
        <v>154</v>
      </c>
      <c r="C5" s="240" t="s">
        <v>155</v>
      </c>
      <c r="D5" s="33" t="s">
        <v>156</v>
      </c>
      <c r="E5" s="33" t="s">
        <v>157</v>
      </c>
      <c r="F5" s="25" t="s">
        <v>158</v>
      </c>
      <c r="G5" s="25" t="s">
        <v>159</v>
      </c>
      <c r="H5" s="216" t="s">
        <v>160</v>
      </c>
      <c r="I5" s="33" t="s">
        <v>122</v>
      </c>
      <c r="J5" s="33" t="s">
        <v>123</v>
      </c>
      <c r="K5" s="33" t="s">
        <v>44</v>
      </c>
      <c r="L5" s="33" t="s">
        <v>45</v>
      </c>
      <c r="M5" s="33" t="s">
        <v>46</v>
      </c>
      <c r="N5" s="33" t="s">
        <v>47</v>
      </c>
      <c r="O5" s="33" t="s">
        <v>48</v>
      </c>
      <c r="P5" s="33" t="s">
        <v>79</v>
      </c>
      <c r="Q5" s="33" t="s">
        <v>80</v>
      </c>
    </row>
    <row r="6" spans="1:17" s="33" customFormat="1" ht="30" customHeight="1" thickTop="1">
      <c r="A6" s="240"/>
      <c r="B6" s="691" t="s">
        <v>210</v>
      </c>
      <c r="C6" s="685" t="s">
        <v>198</v>
      </c>
      <c r="D6" s="683" t="s">
        <v>148</v>
      </c>
      <c r="E6" s="698" t="s">
        <v>225</v>
      </c>
      <c r="F6" s="694" t="s">
        <v>127</v>
      </c>
      <c r="G6" s="694" t="s">
        <v>196</v>
      </c>
      <c r="H6" s="694" t="s">
        <v>197</v>
      </c>
      <c r="I6" s="677" t="s">
        <v>161</v>
      </c>
      <c r="J6" s="687" t="s">
        <v>107</v>
      </c>
      <c r="K6" s="687"/>
      <c r="L6" s="687"/>
      <c r="M6" s="687"/>
      <c r="N6" s="687"/>
      <c r="O6" s="703" t="s">
        <v>108</v>
      </c>
      <c r="P6" s="703"/>
      <c r="Q6" s="704"/>
    </row>
    <row r="7" spans="1:17" s="33" customFormat="1" ht="45" customHeight="1">
      <c r="A7" s="240"/>
      <c r="B7" s="692"/>
      <c r="C7" s="702"/>
      <c r="D7" s="684"/>
      <c r="E7" s="699"/>
      <c r="F7" s="695"/>
      <c r="G7" s="695"/>
      <c r="H7" s="695"/>
      <c r="I7" s="678"/>
      <c r="J7" s="562" t="s">
        <v>57</v>
      </c>
      <c r="K7" s="562" t="s">
        <v>53</v>
      </c>
      <c r="L7" s="562" t="s">
        <v>59</v>
      </c>
      <c r="M7" s="562" t="s">
        <v>106</v>
      </c>
      <c r="N7" s="562" t="s">
        <v>60</v>
      </c>
      <c r="O7" s="602" t="s">
        <v>109</v>
      </c>
      <c r="P7" s="603" t="s">
        <v>110</v>
      </c>
      <c r="Q7" s="604" t="s">
        <v>4</v>
      </c>
    </row>
    <row r="8" spans="2:17" ht="15">
      <c r="B8" s="588"/>
      <c r="C8" s="605"/>
      <c r="D8" s="606" t="str">
        <f>'10. Tábla'!C76</f>
        <v>Kompenzációra átadott pénzeszköz önkormányzatnak</v>
      </c>
      <c r="E8" s="607"/>
      <c r="F8" s="591">
        <f>'5. Társ.feladat'!F7</f>
        <v>3500</v>
      </c>
      <c r="G8" s="591">
        <v>229530</v>
      </c>
      <c r="H8" s="591">
        <f>'5. Társ.feladat'!H7</f>
        <v>14956</v>
      </c>
      <c r="I8" s="592">
        <f aca="true" t="shared" si="0" ref="I8:I14">SUM(J8:Q8)</f>
        <v>71632.875</v>
      </c>
      <c r="J8" s="608"/>
      <c r="K8" s="608"/>
      <c r="L8" s="608"/>
      <c r="M8" s="573"/>
      <c r="N8" s="573"/>
      <c r="O8" s="573"/>
      <c r="P8" s="573"/>
      <c r="Q8" s="593">
        <f>'10. Tábla'!I76</f>
        <v>71632.875</v>
      </c>
    </row>
    <row r="9" spans="2:17" ht="15">
      <c r="B9" s="588"/>
      <c r="C9" s="605"/>
      <c r="D9" s="606" t="str">
        <f>'10. Tábla'!C83</f>
        <v>Önkormányzati kifizetések</v>
      </c>
      <c r="E9" s="607"/>
      <c r="F9" s="591">
        <v>0</v>
      </c>
      <c r="G9" s="591">
        <v>0</v>
      </c>
      <c r="H9" s="591">
        <v>0</v>
      </c>
      <c r="I9" s="592">
        <f t="shared" si="0"/>
        <v>36716.277</v>
      </c>
      <c r="J9" s="573"/>
      <c r="K9" s="573"/>
      <c r="L9" s="573"/>
      <c r="M9" s="573"/>
      <c r="N9" s="573"/>
      <c r="O9" s="573"/>
      <c r="P9" s="573"/>
      <c r="Q9" s="593">
        <f>'10. Tábla'!I83</f>
        <v>36716.277</v>
      </c>
    </row>
    <row r="10" spans="2:17" ht="15">
      <c r="B10" s="588"/>
      <c r="C10" s="605"/>
      <c r="D10" s="606" t="s">
        <v>312</v>
      </c>
      <c r="E10" s="607"/>
      <c r="F10" s="591">
        <f>892034-F11-334</f>
        <v>546378</v>
      </c>
      <c r="G10" s="591">
        <f>7135462-G11</f>
        <v>4273377</v>
      </c>
      <c r="H10" s="591">
        <f>5692095-H11</f>
        <v>4099916</v>
      </c>
      <c r="I10" s="592">
        <f t="shared" si="0"/>
        <v>8835.62335</v>
      </c>
      <c r="J10" s="608"/>
      <c r="K10" s="608"/>
      <c r="L10" s="608"/>
      <c r="M10" s="573"/>
      <c r="N10" s="573"/>
      <c r="O10" s="573">
        <f>'10. Tábla'!I85+'10. Tábla'!I87+'10. Tábla'!I89</f>
        <v>8835.62335</v>
      </c>
      <c r="P10" s="573"/>
      <c r="Q10" s="593"/>
    </row>
    <row r="11" spans="2:17" ht="15">
      <c r="B11" s="588"/>
      <c r="C11" s="605"/>
      <c r="D11" s="606" t="str">
        <f>'10. Tábla'!C91</f>
        <v>KEOP 2.3.0/2F/09-2010-023 II. ütem </v>
      </c>
      <c r="E11" s="607"/>
      <c r="F11" s="591">
        <v>345322</v>
      </c>
      <c r="G11" s="591">
        <v>2862085</v>
      </c>
      <c r="H11" s="591">
        <v>1592179</v>
      </c>
      <c r="I11" s="592">
        <f t="shared" si="0"/>
        <v>1492285.956</v>
      </c>
      <c r="J11" s="573"/>
      <c r="K11" s="573"/>
      <c r="L11" s="573"/>
      <c r="M11" s="573"/>
      <c r="N11" s="573"/>
      <c r="O11" s="573">
        <f>'10. Tábla'!I91</f>
        <v>1492285.956</v>
      </c>
      <c r="P11" s="573"/>
      <c r="Q11" s="593"/>
    </row>
    <row r="12" spans="2:17" ht="15">
      <c r="B12" s="588"/>
      <c r="C12" s="605"/>
      <c r="D12" s="606" t="str">
        <f>'10. Tábla'!C95</f>
        <v>KEOP 1.1.1. C</v>
      </c>
      <c r="E12" s="607"/>
      <c r="F12" s="591">
        <v>0</v>
      </c>
      <c r="G12" s="591">
        <v>0</v>
      </c>
      <c r="H12" s="591">
        <v>0</v>
      </c>
      <c r="I12" s="592">
        <f>SUM(J12:Q12)</f>
        <v>1760925.342</v>
      </c>
      <c r="J12" s="608"/>
      <c r="K12" s="608"/>
      <c r="L12" s="608"/>
      <c r="M12" s="573"/>
      <c r="N12" s="573"/>
      <c r="O12" s="573">
        <f>'10. Tábla'!I95</f>
        <v>1760925.342</v>
      </c>
      <c r="P12" s="573"/>
      <c r="Q12" s="593"/>
    </row>
    <row r="13" spans="2:17" ht="15">
      <c r="B13" s="588"/>
      <c r="C13" s="605"/>
      <c r="D13" s="606" t="s">
        <v>258</v>
      </c>
      <c r="E13" s="607"/>
      <c r="F13" s="591">
        <v>0</v>
      </c>
      <c r="G13" s="591">
        <v>0</v>
      </c>
      <c r="H13" s="591">
        <v>0</v>
      </c>
      <c r="I13" s="592">
        <f t="shared" si="0"/>
        <v>1687177.2835000001</v>
      </c>
      <c r="J13" s="573"/>
      <c r="K13" s="573"/>
      <c r="L13" s="573"/>
      <c r="M13" s="573"/>
      <c r="N13" s="573"/>
      <c r="O13" s="573"/>
      <c r="P13" s="573"/>
      <c r="Q13" s="593">
        <f>'10. Tábla'!I99</f>
        <v>1687177.2835000001</v>
      </c>
    </row>
    <row r="14" spans="2:17" ht="15">
      <c r="B14" s="588"/>
      <c r="C14" s="605"/>
      <c r="D14" s="606" t="s">
        <v>235</v>
      </c>
      <c r="E14" s="607"/>
      <c r="F14" s="591">
        <v>0</v>
      </c>
      <c r="G14" s="591">
        <f>'5. Társ.feladat'!G8</f>
        <v>160593</v>
      </c>
      <c r="H14" s="591">
        <f>'5. Társ.feladat'!H8</f>
        <v>0</v>
      </c>
      <c r="I14" s="592">
        <f t="shared" si="0"/>
        <v>427494.83508999995</v>
      </c>
      <c r="J14" s="573"/>
      <c r="K14" s="573"/>
      <c r="L14" s="573"/>
      <c r="M14" s="573"/>
      <c r="N14" s="573"/>
      <c r="O14" s="573"/>
      <c r="P14" s="573"/>
      <c r="Q14" s="593">
        <f>'10. Tábla'!I102</f>
        <v>427494.83508999995</v>
      </c>
    </row>
    <row r="15" spans="2:17" ht="15">
      <c r="B15" s="588"/>
      <c r="C15" s="605"/>
      <c r="D15" s="606" t="str">
        <f>'5. Társ.feladat'!D9</f>
        <v>Működési kiadások</v>
      </c>
      <c r="E15" s="607"/>
      <c r="F15" s="591">
        <v>91174</v>
      </c>
      <c r="G15" s="591">
        <v>235140</v>
      </c>
      <c r="H15" s="591">
        <v>263614</v>
      </c>
      <c r="I15" s="592">
        <f>SUM(J15:Q15)</f>
        <v>186627.5940220583</v>
      </c>
      <c r="J15" s="573">
        <f>'5. Társ.feladat'!J9</f>
        <v>12677</v>
      </c>
      <c r="K15" s="573">
        <f>'5. Társ.feladat'!K9</f>
        <v>4004</v>
      </c>
      <c r="L15" s="573">
        <f>'5. Társ.feladat'!L9</f>
        <v>169946.5940220583</v>
      </c>
      <c r="M15" s="573">
        <f>'5. Társ.feladat'!M9</f>
        <v>0</v>
      </c>
      <c r="N15" s="573">
        <f>'5. Társ.feladat'!N9</f>
        <v>0</v>
      </c>
      <c r="O15" s="573"/>
      <c r="P15" s="573"/>
      <c r="Q15" s="593"/>
    </row>
    <row r="16" spans="1:18" s="73" customFormat="1" ht="30" customHeight="1" thickBot="1">
      <c r="A16" s="240"/>
      <c r="B16" s="696" t="s">
        <v>209</v>
      </c>
      <c r="C16" s="697"/>
      <c r="D16" s="697"/>
      <c r="E16" s="609"/>
      <c r="F16" s="610">
        <f>SUM(F8:F15)</f>
        <v>986374</v>
      </c>
      <c r="G16" s="610">
        <f aca="true" t="shared" si="1" ref="G16:Q16">SUM(G8:G15)</f>
        <v>7760725</v>
      </c>
      <c r="H16" s="610">
        <f t="shared" si="1"/>
        <v>5970665</v>
      </c>
      <c r="I16" s="610">
        <f t="shared" si="1"/>
        <v>5671695.785962058</v>
      </c>
      <c r="J16" s="610">
        <f t="shared" si="1"/>
        <v>12677</v>
      </c>
      <c r="K16" s="610">
        <f t="shared" si="1"/>
        <v>4004</v>
      </c>
      <c r="L16" s="610">
        <f t="shared" si="1"/>
        <v>169946.5940220583</v>
      </c>
      <c r="M16" s="610">
        <f t="shared" si="1"/>
        <v>0</v>
      </c>
      <c r="N16" s="610">
        <f t="shared" si="1"/>
        <v>0</v>
      </c>
      <c r="O16" s="610">
        <f t="shared" si="1"/>
        <v>3262046.92135</v>
      </c>
      <c r="P16" s="610">
        <f t="shared" si="1"/>
        <v>0</v>
      </c>
      <c r="Q16" s="611">
        <f t="shared" si="1"/>
        <v>2223021.27059</v>
      </c>
      <c r="R16" s="23"/>
    </row>
    <row r="17" spans="1:17" s="55" customFormat="1" ht="30" customHeight="1" hidden="1">
      <c r="A17" s="240">
        <v>54</v>
      </c>
      <c r="B17" s="65"/>
      <c r="C17" s="12">
        <v>7</v>
      </c>
      <c r="D17" s="66" t="s">
        <v>15</v>
      </c>
      <c r="E17" s="205"/>
      <c r="F17" s="267">
        <v>189589</v>
      </c>
      <c r="G17" s="267"/>
      <c r="H17" s="267"/>
      <c r="I17" s="61"/>
      <c r="J17" s="21"/>
      <c r="K17" s="21"/>
      <c r="L17" s="21"/>
      <c r="M17" s="21"/>
      <c r="N17" s="21"/>
      <c r="O17" s="21"/>
      <c r="P17" s="21"/>
      <c r="Q17" s="22"/>
    </row>
    <row r="18" spans="1:17" ht="15" hidden="1">
      <c r="A18" s="240">
        <v>55</v>
      </c>
      <c r="B18" s="36"/>
      <c r="C18" s="37">
        <v>8</v>
      </c>
      <c r="D18" s="8" t="s">
        <v>16</v>
      </c>
      <c r="E18" s="205"/>
      <c r="F18" s="31">
        <v>236889</v>
      </c>
      <c r="G18" s="31"/>
      <c r="H18" s="31"/>
      <c r="I18" s="61"/>
      <c r="J18" s="15"/>
      <c r="K18" s="15"/>
      <c r="L18" s="15"/>
      <c r="M18" s="15"/>
      <c r="N18" s="15"/>
      <c r="O18" s="15"/>
      <c r="P18" s="15"/>
      <c r="Q18" s="16"/>
    </row>
    <row r="19" spans="1:17" ht="15" hidden="1">
      <c r="A19" s="240">
        <v>56</v>
      </c>
      <c r="B19" s="36"/>
      <c r="C19" s="37">
        <v>9</v>
      </c>
      <c r="D19" s="8" t="s">
        <v>17</v>
      </c>
      <c r="E19" s="205"/>
      <c r="F19" s="31">
        <v>294235</v>
      </c>
      <c r="G19" s="31"/>
      <c r="H19" s="31"/>
      <c r="I19" s="61"/>
      <c r="J19" s="15"/>
      <c r="K19" s="15"/>
      <c r="L19" s="15"/>
      <c r="M19" s="15"/>
      <c r="N19" s="15"/>
      <c r="O19" s="15"/>
      <c r="P19" s="15"/>
      <c r="Q19" s="16"/>
    </row>
    <row r="20" spans="1:17" ht="15" hidden="1">
      <c r="A20" s="240">
        <v>57</v>
      </c>
      <c r="B20" s="36"/>
      <c r="C20" s="37">
        <v>10</v>
      </c>
      <c r="D20" s="8" t="s">
        <v>18</v>
      </c>
      <c r="E20" s="205"/>
      <c r="F20" s="31">
        <v>354237</v>
      </c>
      <c r="G20" s="31"/>
      <c r="H20" s="31"/>
      <c r="I20" s="61"/>
      <c r="J20" s="15"/>
      <c r="K20" s="15"/>
      <c r="L20" s="15"/>
      <c r="M20" s="15"/>
      <c r="N20" s="15"/>
      <c r="O20" s="15"/>
      <c r="P20" s="15"/>
      <c r="Q20" s="16"/>
    </row>
    <row r="21" spans="1:17" ht="15" hidden="1">
      <c r="A21" s="240">
        <v>58</v>
      </c>
      <c r="B21" s="36"/>
      <c r="C21" s="37">
        <v>11</v>
      </c>
      <c r="D21" s="8" t="s">
        <v>19</v>
      </c>
      <c r="E21" s="205"/>
      <c r="F21" s="31">
        <v>306784</v>
      </c>
      <c r="G21" s="31"/>
      <c r="H21" s="31"/>
      <c r="I21" s="61"/>
      <c r="J21" s="15"/>
      <c r="K21" s="15"/>
      <c r="L21" s="15"/>
      <c r="M21" s="15"/>
      <c r="N21" s="15"/>
      <c r="O21" s="15"/>
      <c r="P21" s="15"/>
      <c r="Q21" s="16"/>
    </row>
    <row r="22" spans="1:17" s="45" customFormat="1" ht="15" hidden="1">
      <c r="A22" s="240">
        <v>59</v>
      </c>
      <c r="B22" s="42"/>
      <c r="C22" s="67"/>
      <c r="D22" s="9" t="s">
        <v>20</v>
      </c>
      <c r="E22" s="207"/>
      <c r="F22" s="265">
        <v>30407</v>
      </c>
      <c r="G22" s="265"/>
      <c r="H22" s="265"/>
      <c r="I22" s="61"/>
      <c r="J22" s="43"/>
      <c r="K22" s="43"/>
      <c r="L22" s="43"/>
      <c r="M22" s="43"/>
      <c r="N22" s="43"/>
      <c r="O22" s="43"/>
      <c r="P22" s="43"/>
      <c r="Q22" s="44"/>
    </row>
    <row r="23" spans="1:17" ht="15" hidden="1">
      <c r="A23" s="240">
        <v>60</v>
      </c>
      <c r="B23" s="36"/>
      <c r="C23" s="37">
        <v>12</v>
      </c>
      <c r="D23" s="8" t="s">
        <v>21</v>
      </c>
      <c r="E23" s="205"/>
      <c r="F23" s="31">
        <v>319970</v>
      </c>
      <c r="G23" s="31"/>
      <c r="H23" s="31"/>
      <c r="I23" s="61"/>
      <c r="J23" s="15"/>
      <c r="K23" s="15"/>
      <c r="L23" s="15"/>
      <c r="M23" s="15"/>
      <c r="N23" s="15"/>
      <c r="O23" s="15"/>
      <c r="P23" s="15"/>
      <c r="Q23" s="16"/>
    </row>
    <row r="24" spans="1:17" ht="15" hidden="1">
      <c r="A24" s="240">
        <v>61</v>
      </c>
      <c r="B24" s="36"/>
      <c r="C24" s="37">
        <v>13</v>
      </c>
      <c r="D24" s="46" t="s">
        <v>181</v>
      </c>
      <c r="E24" s="206"/>
      <c r="F24" s="31">
        <v>172257</v>
      </c>
      <c r="G24" s="31"/>
      <c r="H24" s="31"/>
      <c r="I24" s="61"/>
      <c r="J24" s="15"/>
      <c r="K24" s="15"/>
      <c r="L24" s="15"/>
      <c r="M24" s="15"/>
      <c r="N24" s="15"/>
      <c r="O24" s="15"/>
      <c r="P24" s="15"/>
      <c r="Q24" s="16"/>
    </row>
    <row r="25" spans="1:17" ht="15" hidden="1">
      <c r="A25" s="240">
        <v>62</v>
      </c>
      <c r="B25" s="36"/>
      <c r="C25" s="37">
        <v>14</v>
      </c>
      <c r="D25" s="8" t="s">
        <v>22</v>
      </c>
      <c r="E25" s="205"/>
      <c r="F25" s="31">
        <v>209657</v>
      </c>
      <c r="G25" s="31"/>
      <c r="H25" s="31"/>
      <c r="I25" s="61"/>
      <c r="J25" s="15"/>
      <c r="K25" s="15"/>
      <c r="L25" s="15"/>
      <c r="M25" s="15"/>
      <c r="N25" s="15"/>
      <c r="O25" s="15"/>
      <c r="P25" s="15"/>
      <c r="Q25" s="16"/>
    </row>
    <row r="26" spans="1:17" ht="15" hidden="1">
      <c r="A26" s="240">
        <v>63</v>
      </c>
      <c r="B26" s="36"/>
      <c r="C26" s="37">
        <v>15</v>
      </c>
      <c r="D26" s="46" t="s">
        <v>23</v>
      </c>
      <c r="E26" s="206"/>
      <c r="F26" s="31">
        <v>263845</v>
      </c>
      <c r="G26" s="31"/>
      <c r="H26" s="31"/>
      <c r="I26" s="61"/>
      <c r="J26" s="15"/>
      <c r="K26" s="15"/>
      <c r="L26" s="15"/>
      <c r="M26" s="15"/>
      <c r="N26" s="15"/>
      <c r="O26" s="15"/>
      <c r="P26" s="15"/>
      <c r="Q26" s="16"/>
    </row>
    <row r="27" spans="1:17" ht="15" hidden="1">
      <c r="A27" s="240">
        <v>64</v>
      </c>
      <c r="B27" s="36"/>
      <c r="C27" s="37">
        <v>16</v>
      </c>
      <c r="D27" s="46" t="s">
        <v>24</v>
      </c>
      <c r="E27" s="206"/>
      <c r="F27" s="31">
        <v>107696</v>
      </c>
      <c r="G27" s="31"/>
      <c r="H27" s="31"/>
      <c r="I27" s="61"/>
      <c r="J27" s="15"/>
      <c r="K27" s="15"/>
      <c r="L27" s="15"/>
      <c r="M27" s="15"/>
      <c r="N27" s="15"/>
      <c r="O27" s="15"/>
      <c r="P27" s="15"/>
      <c r="Q27" s="16"/>
    </row>
    <row r="28" spans="1:17" s="26" customFormat="1" ht="24.75" customHeight="1" hidden="1">
      <c r="A28" s="240">
        <v>65</v>
      </c>
      <c r="B28" s="36"/>
      <c r="C28" s="37">
        <v>17</v>
      </c>
      <c r="D28" s="68" t="s">
        <v>25</v>
      </c>
      <c r="E28" s="208"/>
      <c r="F28" s="270">
        <v>144807</v>
      </c>
      <c r="G28" s="270"/>
      <c r="H28" s="270"/>
      <c r="I28" s="61"/>
      <c r="J28" s="60"/>
      <c r="K28" s="60"/>
      <c r="L28" s="60"/>
      <c r="M28" s="60"/>
      <c r="N28" s="60"/>
      <c r="O28" s="60"/>
      <c r="P28" s="60"/>
      <c r="Q28" s="212"/>
    </row>
    <row r="29" spans="1:17" s="41" customFormat="1" ht="24.75" customHeight="1" hidden="1">
      <c r="A29" s="240">
        <v>66</v>
      </c>
      <c r="B29" s="38"/>
      <c r="C29" s="39"/>
      <c r="D29" s="39" t="s">
        <v>26</v>
      </c>
      <c r="E29" s="69"/>
      <c r="F29" s="262">
        <f>SUM(F17:F21,F23:F28)</f>
        <v>2599966</v>
      </c>
      <c r="G29" s="262">
        <f>SUM(G17:G21,G23:G28)</f>
        <v>0</v>
      </c>
      <c r="H29" s="262">
        <f>SUM(H17:H21,H23:H28)</f>
        <v>0</v>
      </c>
      <c r="I29" s="217">
        <f>SUM(I17:I21,I23:I28)</f>
        <v>0</v>
      </c>
      <c r="J29" s="40"/>
      <c r="K29" s="40"/>
      <c r="L29" s="40"/>
      <c r="M29" s="40"/>
      <c r="N29" s="40"/>
      <c r="O29" s="40"/>
      <c r="P29" s="40"/>
      <c r="Q29" s="204"/>
    </row>
    <row r="30" spans="1:17" s="29" customFormat="1" ht="30" customHeight="1" hidden="1">
      <c r="A30" s="240">
        <v>67</v>
      </c>
      <c r="B30" s="47"/>
      <c r="C30" s="48">
        <v>18</v>
      </c>
      <c r="D30" s="49" t="s">
        <v>27</v>
      </c>
      <c r="E30" s="209"/>
      <c r="F30" s="263">
        <v>121932</v>
      </c>
      <c r="G30" s="263"/>
      <c r="H30" s="263"/>
      <c r="I30" s="203"/>
      <c r="J30" s="30"/>
      <c r="K30" s="30"/>
      <c r="L30" s="30"/>
      <c r="M30" s="30"/>
      <c r="N30" s="30"/>
      <c r="O30" s="30"/>
      <c r="P30" s="30"/>
      <c r="Q30" s="50"/>
    </row>
    <row r="31" spans="1:17" s="41" customFormat="1" ht="24.75" customHeight="1" hidden="1">
      <c r="A31" s="240">
        <v>68</v>
      </c>
      <c r="B31" s="38"/>
      <c r="C31" s="69"/>
      <c r="D31" s="39" t="s">
        <v>184</v>
      </c>
      <c r="E31" s="69"/>
      <c r="F31" s="262" t="e">
        <f>SUM(#REF!+F29+F30)</f>
        <v>#REF!</v>
      </c>
      <c r="G31" s="262" t="e">
        <f>SUM(#REF!+G29+G30)</f>
        <v>#REF!</v>
      </c>
      <c r="H31" s="262" t="e">
        <f>SUM(#REF!+H29+H30)</f>
        <v>#REF!</v>
      </c>
      <c r="I31" s="217" t="e">
        <f>SUM(#REF!+I29+I30)</f>
        <v>#REF!</v>
      </c>
      <c r="J31" s="40"/>
      <c r="K31" s="40"/>
      <c r="L31" s="40"/>
      <c r="M31" s="40"/>
      <c r="N31" s="40"/>
      <c r="O31" s="40"/>
      <c r="P31" s="40"/>
      <c r="Q31" s="204"/>
    </row>
    <row r="32" spans="1:17" s="29" customFormat="1" ht="24.75" customHeight="1" hidden="1" thickBot="1">
      <c r="A32" s="240">
        <v>69</v>
      </c>
      <c r="B32" s="47"/>
      <c r="C32" s="48">
        <v>23</v>
      </c>
      <c r="D32" s="30" t="s">
        <v>28</v>
      </c>
      <c r="E32" s="48"/>
      <c r="F32" s="263">
        <v>175989</v>
      </c>
      <c r="G32" s="263"/>
      <c r="H32" s="263"/>
      <c r="I32" s="203"/>
      <c r="J32" s="30"/>
      <c r="K32" s="30"/>
      <c r="L32" s="30"/>
      <c r="M32" s="30"/>
      <c r="N32" s="30"/>
      <c r="O32" s="30"/>
      <c r="P32" s="30"/>
      <c r="Q32" s="50"/>
    </row>
    <row r="33" spans="1:17" s="29" customFormat="1" ht="30" customHeight="1" hidden="1" thickBot="1">
      <c r="A33" s="240">
        <v>70</v>
      </c>
      <c r="B33" s="371">
        <v>1</v>
      </c>
      <c r="C33" s="372" t="s">
        <v>29</v>
      </c>
      <c r="D33" s="63"/>
      <c r="E33" s="89"/>
      <c r="F33" s="264" t="e">
        <f>SUM(F31+#REF!+F32)</f>
        <v>#REF!</v>
      </c>
      <c r="G33" s="264" t="e">
        <f>SUM(G31+#REF!+G32)</f>
        <v>#REF!</v>
      </c>
      <c r="H33" s="264" t="e">
        <f>SUM(H31+#REF!+H32)</f>
        <v>#REF!</v>
      </c>
      <c r="I33" s="63" t="e">
        <f>SUM(I31+#REF!+I32)</f>
        <v>#REF!</v>
      </c>
      <c r="J33" s="30"/>
      <c r="K33" s="30"/>
      <c r="L33" s="30"/>
      <c r="M33" s="30"/>
      <c r="N33" s="30"/>
      <c r="O33" s="30"/>
      <c r="P33" s="30"/>
      <c r="Q33" s="50"/>
    </row>
    <row r="34" spans="1:17" s="70" customFormat="1" ht="24.75" customHeight="1" hidden="1">
      <c r="A34" s="240">
        <v>71</v>
      </c>
      <c r="B34" s="65"/>
      <c r="C34" s="21" t="s">
        <v>30</v>
      </c>
      <c r="D34" s="61"/>
      <c r="E34" s="210"/>
      <c r="F34" s="271"/>
      <c r="G34" s="271"/>
      <c r="H34" s="271"/>
      <c r="I34" s="61"/>
      <c r="J34" s="61"/>
      <c r="K34" s="61"/>
      <c r="L34" s="61"/>
      <c r="M34" s="61"/>
      <c r="N34" s="61"/>
      <c r="O34" s="61"/>
      <c r="P34" s="61"/>
      <c r="Q34" s="213"/>
    </row>
    <row r="35" spans="1:17" ht="15" hidden="1">
      <c r="A35" s="240">
        <v>72</v>
      </c>
      <c r="B35" s="370">
        <v>2</v>
      </c>
      <c r="C35" s="71"/>
      <c r="D35" s="15" t="s">
        <v>31</v>
      </c>
      <c r="E35" s="12"/>
      <c r="F35" s="31">
        <v>345976</v>
      </c>
      <c r="G35" s="31"/>
      <c r="H35" s="31"/>
      <c r="I35" s="19"/>
      <c r="J35" s="15"/>
      <c r="K35" s="15"/>
      <c r="L35" s="15"/>
      <c r="M35" s="15"/>
      <c r="N35" s="15"/>
      <c r="O35" s="15"/>
      <c r="P35" s="15"/>
      <c r="Q35" s="16"/>
    </row>
    <row r="36" spans="1:17" ht="15" hidden="1">
      <c r="A36" s="240">
        <v>73</v>
      </c>
      <c r="B36" s="370">
        <v>3</v>
      </c>
      <c r="C36" s="71"/>
      <c r="D36" s="15" t="s">
        <v>32</v>
      </c>
      <c r="E36" s="12"/>
      <c r="F36" s="31">
        <v>355751</v>
      </c>
      <c r="G36" s="31"/>
      <c r="H36" s="31"/>
      <c r="I36" s="19"/>
      <c r="J36" s="15"/>
      <c r="K36" s="15"/>
      <c r="L36" s="15"/>
      <c r="M36" s="15"/>
      <c r="N36" s="15"/>
      <c r="O36" s="15"/>
      <c r="P36" s="15"/>
      <c r="Q36" s="16"/>
    </row>
    <row r="37" spans="1:17" s="35" customFormat="1" ht="15" hidden="1">
      <c r="A37" s="240">
        <v>74</v>
      </c>
      <c r="B37" s="370">
        <v>4</v>
      </c>
      <c r="C37" s="71"/>
      <c r="D37" s="15" t="s">
        <v>33</v>
      </c>
      <c r="E37" s="12"/>
      <c r="F37" s="31">
        <v>345673</v>
      </c>
      <c r="G37" s="31"/>
      <c r="H37" s="31"/>
      <c r="I37" s="19"/>
      <c r="J37" s="19"/>
      <c r="K37" s="19"/>
      <c r="L37" s="19"/>
      <c r="M37" s="19"/>
      <c r="N37" s="19"/>
      <c r="O37" s="19"/>
      <c r="P37" s="19"/>
      <c r="Q37" s="20"/>
    </row>
    <row r="38" spans="1:17" s="35" customFormat="1" ht="30" hidden="1">
      <c r="A38" s="240">
        <v>75</v>
      </c>
      <c r="B38" s="370">
        <v>5</v>
      </c>
      <c r="C38" s="71"/>
      <c r="D38" s="46" t="s">
        <v>34</v>
      </c>
      <c r="E38" s="206"/>
      <c r="F38" s="31">
        <v>454560</v>
      </c>
      <c r="G38" s="31"/>
      <c r="H38" s="31"/>
      <c r="I38" s="19"/>
      <c r="J38" s="19"/>
      <c r="K38" s="19"/>
      <c r="L38" s="19"/>
      <c r="M38" s="19"/>
      <c r="N38" s="19"/>
      <c r="O38" s="19"/>
      <c r="P38" s="19"/>
      <c r="Q38" s="20"/>
    </row>
    <row r="39" spans="1:17" s="35" customFormat="1" ht="15" hidden="1">
      <c r="A39" s="240">
        <v>76</v>
      </c>
      <c r="B39" s="370">
        <v>6</v>
      </c>
      <c r="C39" s="71"/>
      <c r="D39" s="15" t="s">
        <v>185</v>
      </c>
      <c r="E39" s="12"/>
      <c r="F39" s="31">
        <v>388665</v>
      </c>
      <c r="G39" s="31"/>
      <c r="H39" s="31"/>
      <c r="I39" s="19"/>
      <c r="J39" s="19"/>
      <c r="K39" s="19"/>
      <c r="L39" s="19"/>
      <c r="M39" s="19"/>
      <c r="N39" s="19"/>
      <c r="O39" s="19"/>
      <c r="P39" s="19"/>
      <c r="Q39" s="20"/>
    </row>
    <row r="40" spans="1:17" s="70" customFormat="1" ht="24.75" customHeight="1" hidden="1">
      <c r="A40" s="240">
        <v>77</v>
      </c>
      <c r="B40" s="373">
        <v>7</v>
      </c>
      <c r="C40" s="21" t="s">
        <v>182</v>
      </c>
      <c r="D40" s="61"/>
      <c r="E40" s="210"/>
      <c r="F40" s="271"/>
      <c r="G40" s="271"/>
      <c r="H40" s="271"/>
      <c r="I40" s="19"/>
      <c r="J40" s="61"/>
      <c r="K40" s="61"/>
      <c r="L40" s="61"/>
      <c r="M40" s="61"/>
      <c r="N40" s="61"/>
      <c r="O40" s="61"/>
      <c r="P40" s="61"/>
      <c r="Q40" s="213"/>
    </row>
    <row r="41" spans="1:17" ht="15" hidden="1">
      <c r="A41" s="240">
        <v>78</v>
      </c>
      <c r="B41" s="36"/>
      <c r="C41" s="37">
        <v>1</v>
      </c>
      <c r="D41" s="15" t="s">
        <v>36</v>
      </c>
      <c r="E41" s="12"/>
      <c r="F41" s="31">
        <v>194122</v>
      </c>
      <c r="G41" s="31"/>
      <c r="H41" s="31"/>
      <c r="I41" s="19"/>
      <c r="J41" s="15"/>
      <c r="K41" s="15"/>
      <c r="L41" s="15"/>
      <c r="M41" s="15"/>
      <c r="N41" s="15"/>
      <c r="O41" s="15"/>
      <c r="P41" s="15"/>
      <c r="Q41" s="16"/>
    </row>
    <row r="42" spans="1:17" ht="30" hidden="1">
      <c r="A42" s="240">
        <v>79</v>
      </c>
      <c r="B42" s="36"/>
      <c r="C42" s="37">
        <v>2</v>
      </c>
      <c r="D42" s="46" t="s">
        <v>37</v>
      </c>
      <c r="E42" s="206"/>
      <c r="F42" s="31">
        <v>88269</v>
      </c>
      <c r="G42" s="31"/>
      <c r="H42" s="31"/>
      <c r="I42" s="19"/>
      <c r="J42" s="15"/>
      <c r="K42" s="15"/>
      <c r="L42" s="15"/>
      <c r="M42" s="15"/>
      <c r="N42" s="15"/>
      <c r="O42" s="15"/>
      <c r="P42" s="15"/>
      <c r="Q42" s="16"/>
    </row>
    <row r="43" spans="1:17" ht="15" hidden="1">
      <c r="A43" s="240">
        <v>80</v>
      </c>
      <c r="B43" s="36"/>
      <c r="C43" s="37">
        <v>3</v>
      </c>
      <c r="D43" s="46" t="s">
        <v>38</v>
      </c>
      <c r="E43" s="206"/>
      <c r="F43" s="31">
        <v>370523</v>
      </c>
      <c r="G43" s="31"/>
      <c r="H43" s="31"/>
      <c r="I43" s="19"/>
      <c r="J43" s="15"/>
      <c r="K43" s="15"/>
      <c r="L43" s="15"/>
      <c r="M43" s="15"/>
      <c r="N43" s="15"/>
      <c r="O43" s="15"/>
      <c r="P43" s="15"/>
      <c r="Q43" s="16"/>
    </row>
    <row r="44" spans="1:17" ht="30" hidden="1">
      <c r="A44" s="240">
        <v>81</v>
      </c>
      <c r="B44" s="36"/>
      <c r="C44" s="37">
        <v>4</v>
      </c>
      <c r="D44" s="46" t="s">
        <v>43</v>
      </c>
      <c r="E44" s="206"/>
      <c r="F44" s="31">
        <v>163913</v>
      </c>
      <c r="G44" s="31"/>
      <c r="H44" s="31"/>
      <c r="I44" s="19"/>
      <c r="J44" s="15"/>
      <c r="K44" s="15"/>
      <c r="L44" s="15"/>
      <c r="M44" s="15"/>
      <c r="N44" s="15"/>
      <c r="O44" s="15"/>
      <c r="P44" s="15"/>
      <c r="Q44" s="16"/>
    </row>
    <row r="45" spans="1:17" ht="15" hidden="1">
      <c r="A45" s="240">
        <v>82</v>
      </c>
      <c r="B45" s="36"/>
      <c r="C45" s="37">
        <v>5</v>
      </c>
      <c r="D45" s="46" t="s">
        <v>39</v>
      </c>
      <c r="E45" s="206"/>
      <c r="F45" s="31">
        <v>201248</v>
      </c>
      <c r="G45" s="31"/>
      <c r="H45" s="31"/>
      <c r="I45" s="19"/>
      <c r="J45" s="15"/>
      <c r="K45" s="15"/>
      <c r="L45" s="15"/>
      <c r="M45" s="15"/>
      <c r="N45" s="15"/>
      <c r="O45" s="15"/>
      <c r="P45" s="15"/>
      <c r="Q45" s="16"/>
    </row>
    <row r="46" spans="1:17" s="41" customFormat="1" ht="24.75" customHeight="1" hidden="1" thickBot="1">
      <c r="A46" s="240">
        <v>83</v>
      </c>
      <c r="B46" s="374">
        <v>7</v>
      </c>
      <c r="C46" s="375" t="s">
        <v>40</v>
      </c>
      <c r="D46" s="72"/>
      <c r="E46" s="211"/>
      <c r="F46" s="272">
        <f>SUM(F41:F45)</f>
        <v>1018075</v>
      </c>
      <c r="G46" s="272">
        <f>SUM(G41,G42,G43,G45)</f>
        <v>0</v>
      </c>
      <c r="H46" s="272">
        <f>SUM(H41,H42,H43,H45)</f>
        <v>0</v>
      </c>
      <c r="I46" s="218">
        <f>SUM(I41,I42,I43,I45)</f>
        <v>0</v>
      </c>
      <c r="J46" s="40"/>
      <c r="K46" s="40"/>
      <c r="L46" s="40"/>
      <c r="M46" s="40"/>
      <c r="N46" s="40"/>
      <c r="O46" s="40"/>
      <c r="P46" s="40"/>
      <c r="Q46" s="204"/>
    </row>
    <row r="47" spans="1:17" s="73" customFormat="1" ht="30" customHeight="1" hidden="1" thickBot="1" thickTop="1">
      <c r="A47" s="240">
        <v>84</v>
      </c>
      <c r="B47" s="62"/>
      <c r="C47" s="372" t="s">
        <v>41</v>
      </c>
      <c r="D47" s="63"/>
      <c r="E47" s="89"/>
      <c r="F47" s="264">
        <f>SUM(F46,F35:F39)</f>
        <v>2908700</v>
      </c>
      <c r="G47" s="264">
        <f>SUM(G35+G36+G37+G38+G39+G41+G42+G43+G45)</f>
        <v>0</v>
      </c>
      <c r="H47" s="264">
        <f>SUM(H35+H36+H37+H38+H39+H41+H42+H43+H45)</f>
        <v>0</v>
      </c>
      <c r="I47" s="63">
        <f>SUM(I35+I36+I37+I38+I39+I41+I42+I43+I45)</f>
        <v>0</v>
      </c>
      <c r="J47" s="203"/>
      <c r="K47" s="203"/>
      <c r="L47" s="203"/>
      <c r="M47" s="203"/>
      <c r="N47" s="203"/>
      <c r="O47" s="203"/>
      <c r="P47" s="203"/>
      <c r="Q47" s="214"/>
    </row>
    <row r="48" ht="15.75" thickTop="1"/>
  </sheetData>
  <sheetProtection/>
  <mergeCells count="14">
    <mergeCell ref="D6:D7"/>
    <mergeCell ref="C6:C7"/>
    <mergeCell ref="O6:Q6"/>
    <mergeCell ref="H6:H7"/>
    <mergeCell ref="B16:D16"/>
    <mergeCell ref="F6:F7"/>
    <mergeCell ref="I6:I7"/>
    <mergeCell ref="E6:E7"/>
    <mergeCell ref="B1:F1"/>
    <mergeCell ref="G6:G7"/>
    <mergeCell ref="B6:B7"/>
    <mergeCell ref="B2:Q2"/>
    <mergeCell ref="B3:Q3"/>
    <mergeCell ref="J6:N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8"/>
  <sheetViews>
    <sheetView view="pageBreakPreview" zoomScale="90" zoomScaleNormal="75" zoomScaleSheetLayoutView="90" zoomScalePageLayoutView="0" workbookViewId="0" topLeftCell="A1">
      <pane ySplit="6" topLeftCell="A7" activePane="bottomLeft" state="frozen"/>
      <selection pane="topLeft" activeCell="E19" sqref="E19"/>
      <selection pane="bottomLeft" activeCell="I10" sqref="I10"/>
    </sheetView>
  </sheetViews>
  <sheetFormatPr defaultColWidth="9.00390625" defaultRowHeight="12.75"/>
  <cols>
    <col min="1" max="1" width="4.00390625" style="1" bestFit="1" customWidth="1"/>
    <col min="2" max="2" width="4.75390625" style="2" bestFit="1" customWidth="1"/>
    <col min="3" max="3" width="4.00390625" style="6" bestFit="1" customWidth="1"/>
    <col min="4" max="4" width="90.75390625" style="2" customWidth="1"/>
    <col min="5" max="5" width="5.75390625" style="2" customWidth="1"/>
    <col min="6" max="6" width="10.75390625" style="259" customWidth="1"/>
    <col min="7" max="7" width="10.75390625" style="261" customWidth="1"/>
    <col min="8" max="8" width="10.75390625" style="255" customWidth="1"/>
    <col min="9" max="9" width="15.75390625" style="239" customWidth="1"/>
    <col min="10" max="14" width="13.75390625" style="239" customWidth="1"/>
    <col min="15" max="16384" width="9.125" style="2" customWidth="1"/>
  </cols>
  <sheetData>
    <row r="1" spans="2:14" ht="15">
      <c r="B1" s="706" t="s">
        <v>329</v>
      </c>
      <c r="C1" s="706"/>
      <c r="D1" s="706"/>
      <c r="E1" s="235"/>
      <c r="H1" s="711"/>
      <c r="I1" s="711"/>
      <c r="J1" s="244"/>
      <c r="K1" s="244"/>
      <c r="L1" s="244"/>
      <c r="M1" s="244"/>
      <c r="N1" s="244"/>
    </row>
    <row r="2" spans="1:14" s="247" customFormat="1" ht="24.75" customHeight="1">
      <c r="A2" s="245"/>
      <c r="B2" s="705" t="s">
        <v>93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</row>
    <row r="3" spans="4:14" ht="15">
      <c r="D3" s="248"/>
      <c r="E3" s="248"/>
      <c r="H3" s="273"/>
      <c r="I3" s="249"/>
      <c r="J3" s="244"/>
      <c r="K3" s="244"/>
      <c r="L3" s="244"/>
      <c r="M3" s="244"/>
      <c r="N3" s="244" t="s">
        <v>147</v>
      </c>
    </row>
    <row r="4" spans="1:14" s="3" customFormat="1" ht="15.75" thickBot="1">
      <c r="A4" s="4"/>
      <c r="B4" s="3" t="s">
        <v>154</v>
      </c>
      <c r="C4" s="4" t="s">
        <v>155</v>
      </c>
      <c r="D4" s="4" t="s">
        <v>156</v>
      </c>
      <c r="E4" s="4"/>
      <c r="F4" s="7" t="s">
        <v>157</v>
      </c>
      <c r="G4" s="7" t="s">
        <v>158</v>
      </c>
      <c r="H4" s="256" t="s">
        <v>159</v>
      </c>
      <c r="I4" s="5" t="s">
        <v>160</v>
      </c>
      <c r="J4" s="5" t="s">
        <v>122</v>
      </c>
      <c r="K4" s="5" t="s">
        <v>123</v>
      </c>
      <c r="L4" s="5" t="s">
        <v>44</v>
      </c>
      <c r="M4" s="5" t="s">
        <v>45</v>
      </c>
      <c r="N4" s="5" t="s">
        <v>46</v>
      </c>
    </row>
    <row r="5" spans="1:14" s="246" customFormat="1" ht="30" customHeight="1" thickTop="1">
      <c r="A5" s="250"/>
      <c r="B5" s="707" t="s">
        <v>210</v>
      </c>
      <c r="C5" s="714" t="s">
        <v>198</v>
      </c>
      <c r="D5" s="709" t="s">
        <v>148</v>
      </c>
      <c r="E5" s="698" t="s">
        <v>225</v>
      </c>
      <c r="F5" s="716" t="s">
        <v>127</v>
      </c>
      <c r="G5" s="716" t="s">
        <v>196</v>
      </c>
      <c r="H5" s="716" t="s">
        <v>197</v>
      </c>
      <c r="I5" s="712" t="s">
        <v>161</v>
      </c>
      <c r="J5" s="687" t="s">
        <v>107</v>
      </c>
      <c r="K5" s="687"/>
      <c r="L5" s="687"/>
      <c r="M5" s="687"/>
      <c r="N5" s="718"/>
    </row>
    <row r="6" spans="1:14" s="246" customFormat="1" ht="45" customHeight="1">
      <c r="A6" s="250"/>
      <c r="B6" s="708"/>
      <c r="C6" s="715"/>
      <c r="D6" s="710"/>
      <c r="E6" s="699"/>
      <c r="F6" s="717"/>
      <c r="G6" s="717"/>
      <c r="H6" s="717"/>
      <c r="I6" s="713"/>
      <c r="J6" s="562" t="s">
        <v>57</v>
      </c>
      <c r="K6" s="562" t="s">
        <v>53</v>
      </c>
      <c r="L6" s="562" t="s">
        <v>59</v>
      </c>
      <c r="M6" s="562" t="s">
        <v>106</v>
      </c>
      <c r="N6" s="563" t="s">
        <v>60</v>
      </c>
    </row>
    <row r="7" spans="1:14" ht="18" customHeight="1">
      <c r="A7" s="4"/>
      <c r="B7" s="564"/>
      <c r="C7" s="565"/>
      <c r="D7" s="566" t="s">
        <v>236</v>
      </c>
      <c r="E7" s="566" t="s">
        <v>330</v>
      </c>
      <c r="F7" s="567">
        <v>3500</v>
      </c>
      <c r="G7" s="567">
        <v>48154</v>
      </c>
      <c r="H7" s="568">
        <v>14956</v>
      </c>
      <c r="I7" s="569">
        <f>'10. Tábla'!I76+'10. Tábla'!I83</f>
        <v>108349.152</v>
      </c>
      <c r="J7" s="569"/>
      <c r="K7" s="569"/>
      <c r="L7" s="569"/>
      <c r="M7" s="569"/>
      <c r="N7" s="570"/>
    </row>
    <row r="8" spans="1:14" ht="15">
      <c r="A8" s="4"/>
      <c r="B8" s="564"/>
      <c r="C8" s="565"/>
      <c r="D8" s="566" t="s">
        <v>235</v>
      </c>
      <c r="E8" s="566" t="s">
        <v>330</v>
      </c>
      <c r="F8" s="567">
        <v>0</v>
      </c>
      <c r="G8" s="568">
        <v>160593</v>
      </c>
      <c r="H8" s="568">
        <v>0</v>
      </c>
      <c r="I8" s="569">
        <f>'10. Tábla'!I101</f>
        <v>427494.83508999995</v>
      </c>
      <c r="J8" s="569"/>
      <c r="K8" s="569"/>
      <c r="L8" s="569"/>
      <c r="M8" s="569"/>
      <c r="N8" s="570"/>
    </row>
    <row r="9" spans="1:14" ht="15">
      <c r="A9" s="4"/>
      <c r="B9" s="564"/>
      <c r="C9" s="565"/>
      <c r="D9" s="566" t="s">
        <v>292</v>
      </c>
      <c r="E9" s="566" t="s">
        <v>330</v>
      </c>
      <c r="F9" s="567">
        <f>'4. Kiadás 2'!F15</f>
        <v>91174</v>
      </c>
      <c r="G9" s="567">
        <f>'4. Kiadás 2'!G15</f>
        <v>235140</v>
      </c>
      <c r="H9" s="567">
        <f>'4. Kiadás 2'!H15</f>
        <v>263614</v>
      </c>
      <c r="I9" s="569">
        <f>SUM(J9:N9)</f>
        <v>186627.5940220583</v>
      </c>
      <c r="J9" s="569">
        <f>'8. Mérleg'!F5</f>
        <v>12677</v>
      </c>
      <c r="K9" s="569">
        <f>'8. Mérleg'!F6</f>
        <v>4004</v>
      </c>
      <c r="L9" s="569">
        <f>'8. Mérleg'!F7</f>
        <v>169946.5940220583</v>
      </c>
      <c r="M9" s="569">
        <v>0</v>
      </c>
      <c r="N9" s="570">
        <v>0</v>
      </c>
    </row>
    <row r="10" spans="2:14" ht="15" customHeight="1">
      <c r="B10" s="571" t="s">
        <v>223</v>
      </c>
      <c r="C10" s="572"/>
      <c r="D10" s="573"/>
      <c r="E10" s="574"/>
      <c r="F10" s="575"/>
      <c r="G10" s="575"/>
      <c r="H10" s="575"/>
      <c r="I10" s="576"/>
      <c r="J10" s="577"/>
      <c r="K10" s="577"/>
      <c r="L10" s="577"/>
      <c r="M10" s="577"/>
      <c r="N10" s="578"/>
    </row>
    <row r="11" spans="2:14" ht="15" customHeight="1">
      <c r="B11" s="571" t="s">
        <v>7</v>
      </c>
      <c r="C11" s="572"/>
      <c r="D11" s="579"/>
      <c r="E11" s="574"/>
      <c r="F11" s="575"/>
      <c r="G11" s="575"/>
      <c r="H11" s="575"/>
      <c r="I11" s="576"/>
      <c r="J11" s="577"/>
      <c r="K11" s="577"/>
      <c r="L11" s="577"/>
      <c r="M11" s="577"/>
      <c r="N11" s="578"/>
    </row>
    <row r="12" spans="2:14" ht="15" customHeight="1">
      <c r="B12" s="580" t="s">
        <v>224</v>
      </c>
      <c r="C12" s="581"/>
      <c r="D12" s="582"/>
      <c r="E12" s="583"/>
      <c r="F12" s="584"/>
      <c r="G12" s="584"/>
      <c r="H12" s="584"/>
      <c r="I12" s="585"/>
      <c r="J12" s="586"/>
      <c r="K12" s="586"/>
      <c r="L12" s="586"/>
      <c r="M12" s="586"/>
      <c r="N12" s="587"/>
    </row>
    <row r="13" spans="2:14" ht="15">
      <c r="B13" s="588" t="s">
        <v>226</v>
      </c>
      <c r="C13" s="589"/>
      <c r="D13" s="582"/>
      <c r="E13" s="590"/>
      <c r="F13" s="591"/>
      <c r="G13" s="591"/>
      <c r="H13" s="591"/>
      <c r="I13" s="592"/>
      <c r="J13" s="573"/>
      <c r="K13" s="573"/>
      <c r="L13" s="573"/>
      <c r="M13" s="573"/>
      <c r="N13" s="593"/>
    </row>
    <row r="14" spans="2:14" ht="15">
      <c r="B14" s="588" t="s">
        <v>101</v>
      </c>
      <c r="C14" s="589"/>
      <c r="D14" s="582"/>
      <c r="E14" s="590"/>
      <c r="F14" s="591"/>
      <c r="G14" s="591"/>
      <c r="H14" s="591"/>
      <c r="I14" s="592"/>
      <c r="J14" s="573"/>
      <c r="K14" s="573"/>
      <c r="L14" s="573"/>
      <c r="M14" s="573"/>
      <c r="N14" s="593"/>
    </row>
    <row r="15" spans="2:14" ht="15.75" thickBot="1">
      <c r="B15" s="594" t="s">
        <v>102</v>
      </c>
      <c r="C15" s="595"/>
      <c r="D15" s="596"/>
      <c r="E15" s="597"/>
      <c r="F15" s="598"/>
      <c r="G15" s="598"/>
      <c r="H15" s="598"/>
      <c r="I15" s="599"/>
      <c r="J15" s="600"/>
      <c r="K15" s="600"/>
      <c r="L15" s="600"/>
      <c r="M15" s="600"/>
      <c r="N15" s="601"/>
    </row>
    <row r="16" spans="4:8" ht="15.75" thickTop="1">
      <c r="D16" s="1"/>
      <c r="E16" s="252"/>
      <c r="F16" s="74"/>
      <c r="G16" s="74"/>
      <c r="H16" s="258"/>
    </row>
    <row r="17" spans="4:14" ht="15">
      <c r="D17" s="1"/>
      <c r="E17" s="253"/>
      <c r="F17" s="274"/>
      <c r="G17" s="274"/>
      <c r="H17" s="275"/>
      <c r="I17" s="238"/>
      <c r="J17" s="238"/>
      <c r="K17" s="238"/>
      <c r="L17" s="238"/>
      <c r="M17" s="238"/>
      <c r="N17" s="238"/>
    </row>
    <row r="18" spans="4:14" ht="15">
      <c r="D18" s="1"/>
      <c r="E18" s="253"/>
      <c r="F18" s="274"/>
      <c r="G18" s="274"/>
      <c r="H18" s="275"/>
      <c r="I18" s="238"/>
      <c r="J18" s="238"/>
      <c r="K18" s="238"/>
      <c r="L18" s="238"/>
      <c r="M18" s="238"/>
      <c r="N18" s="238"/>
    </row>
    <row r="19" spans="4:14" ht="15">
      <c r="D19" s="1"/>
      <c r="E19" s="253"/>
      <c r="F19" s="274"/>
      <c r="G19" s="274"/>
      <c r="H19" s="275"/>
      <c r="I19" s="238"/>
      <c r="J19" s="238"/>
      <c r="K19" s="238"/>
      <c r="L19" s="238"/>
      <c r="M19" s="238"/>
      <c r="N19" s="238"/>
    </row>
    <row r="20" spans="4:8" ht="15">
      <c r="D20" s="236"/>
      <c r="E20" s="1"/>
      <c r="F20" s="74"/>
      <c r="G20" s="74"/>
      <c r="H20" s="258"/>
    </row>
    <row r="21" spans="4:8" ht="15">
      <c r="D21" s="236"/>
      <c r="E21" s="1"/>
      <c r="F21" s="74"/>
      <c r="G21" s="74"/>
      <c r="H21" s="258"/>
    </row>
    <row r="22" spans="4:8" ht="15">
      <c r="D22" s="1"/>
      <c r="E22" s="1"/>
      <c r="F22" s="74"/>
      <c r="G22" s="74"/>
      <c r="H22" s="258"/>
    </row>
    <row r="23" spans="4:8" ht="15">
      <c r="D23" s="1"/>
      <c r="E23" s="1"/>
      <c r="F23" s="74"/>
      <c r="G23" s="74"/>
      <c r="H23" s="258"/>
    </row>
    <row r="24" spans="4:8" ht="15">
      <c r="D24" s="1"/>
      <c r="E24" s="1"/>
      <c r="F24" s="74"/>
      <c r="G24" s="74"/>
      <c r="H24" s="258"/>
    </row>
    <row r="25" spans="4:8" ht="15">
      <c r="D25" s="1"/>
      <c r="E25" s="236"/>
      <c r="F25" s="74"/>
      <c r="G25" s="74"/>
      <c r="H25" s="258"/>
    </row>
    <row r="26" spans="4:8" ht="15">
      <c r="D26" s="1"/>
      <c r="E26" s="236"/>
      <c r="F26" s="74"/>
      <c r="G26" s="74"/>
      <c r="H26" s="258"/>
    </row>
    <row r="27" spans="4:8" ht="15">
      <c r="D27" s="1"/>
      <c r="E27" s="1"/>
      <c r="F27" s="74"/>
      <c r="G27" s="74"/>
      <c r="H27" s="258"/>
    </row>
    <row r="28" spans="4:8" ht="15">
      <c r="D28" s="1"/>
      <c r="E28" s="1"/>
      <c r="F28" s="74"/>
      <c r="G28" s="74"/>
      <c r="H28" s="258"/>
    </row>
    <row r="29" spans="4:8" ht="15">
      <c r="D29" s="1"/>
      <c r="E29" s="1"/>
      <c r="F29" s="74"/>
      <c r="G29" s="74"/>
      <c r="H29" s="258"/>
    </row>
    <row r="30" spans="4:8" ht="15">
      <c r="D30" s="1"/>
      <c r="E30" s="1"/>
      <c r="F30" s="74"/>
      <c r="G30" s="74"/>
      <c r="H30" s="258"/>
    </row>
    <row r="31" spans="4:8" ht="15">
      <c r="D31" s="1"/>
      <c r="E31" s="1"/>
      <c r="F31" s="74"/>
      <c r="G31" s="74"/>
      <c r="H31" s="258"/>
    </row>
    <row r="32" spans="4:8" ht="15">
      <c r="D32" s="236"/>
      <c r="E32" s="1"/>
      <c r="F32" s="74"/>
      <c r="G32" s="74"/>
      <c r="H32" s="258"/>
    </row>
    <row r="33" spans="4:8" ht="15">
      <c r="D33" s="236"/>
      <c r="E33" s="1"/>
      <c r="F33" s="74"/>
      <c r="G33" s="74"/>
      <c r="H33" s="258"/>
    </row>
    <row r="34" spans="4:8" ht="15">
      <c r="D34" s="1"/>
      <c r="E34" s="1"/>
      <c r="F34" s="74"/>
      <c r="G34" s="74"/>
      <c r="H34" s="258"/>
    </row>
    <row r="35" spans="4:8" ht="15">
      <c r="D35" s="1"/>
      <c r="E35" s="1"/>
      <c r="F35" s="74"/>
      <c r="G35" s="74"/>
      <c r="H35" s="258"/>
    </row>
    <row r="36" spans="5:8" ht="15">
      <c r="E36" s="1"/>
      <c r="F36" s="74"/>
      <c r="G36" s="74"/>
      <c r="H36" s="258"/>
    </row>
    <row r="37" spans="5:8" ht="15">
      <c r="E37" s="236"/>
      <c r="F37" s="74"/>
      <c r="G37" s="74"/>
      <c r="H37" s="258"/>
    </row>
    <row r="38" spans="5:8" ht="15">
      <c r="E38" s="236"/>
      <c r="F38" s="74"/>
      <c r="G38" s="74"/>
      <c r="H38" s="258"/>
    </row>
    <row r="39" spans="5:8" ht="15">
      <c r="E39" s="1"/>
      <c r="F39" s="74"/>
      <c r="G39" s="74"/>
      <c r="H39" s="258"/>
    </row>
    <row r="40" spans="5:8" ht="15">
      <c r="E40" s="1"/>
      <c r="F40" s="74"/>
      <c r="G40" s="74"/>
      <c r="H40" s="258"/>
    </row>
    <row r="41" spans="6:8" ht="15">
      <c r="F41" s="261"/>
      <c r="H41" s="260"/>
    </row>
    <row r="42" spans="6:8" ht="15">
      <c r="F42" s="261"/>
      <c r="H42" s="260"/>
    </row>
    <row r="43" spans="6:8" ht="15">
      <c r="F43" s="261"/>
      <c r="H43" s="260"/>
    </row>
    <row r="44" spans="6:8" ht="15">
      <c r="F44" s="261"/>
      <c r="H44" s="260"/>
    </row>
    <row r="45" spans="6:8" ht="15">
      <c r="F45" s="261"/>
      <c r="H45" s="260"/>
    </row>
    <row r="46" spans="6:8" ht="15">
      <c r="F46" s="261"/>
      <c r="H46" s="260"/>
    </row>
    <row r="47" spans="6:8" ht="15">
      <c r="F47" s="261"/>
      <c r="H47" s="260"/>
    </row>
    <row r="48" spans="6:8" ht="15">
      <c r="F48" s="261"/>
      <c r="H48" s="260"/>
    </row>
    <row r="49" spans="6:8" ht="15">
      <c r="F49" s="261"/>
      <c r="H49" s="260"/>
    </row>
    <row r="50" spans="6:8" ht="15">
      <c r="F50" s="261"/>
      <c r="H50" s="260"/>
    </row>
    <row r="51" spans="6:8" ht="15">
      <c r="F51" s="261"/>
      <c r="H51" s="260"/>
    </row>
    <row r="52" spans="6:8" ht="15">
      <c r="F52" s="261"/>
      <c r="H52" s="260"/>
    </row>
    <row r="53" spans="6:8" ht="15">
      <c r="F53" s="261"/>
      <c r="H53" s="260"/>
    </row>
    <row r="54" spans="6:8" ht="15">
      <c r="F54" s="261"/>
      <c r="H54" s="260"/>
    </row>
    <row r="55" spans="4:8" ht="15">
      <c r="D55" s="1"/>
      <c r="F55" s="261"/>
      <c r="H55" s="260"/>
    </row>
    <row r="56" spans="4:8" ht="15">
      <c r="D56" s="1"/>
      <c r="F56" s="261"/>
      <c r="H56" s="260"/>
    </row>
    <row r="57" spans="4:8" ht="15">
      <c r="D57" s="1"/>
      <c r="F57" s="261"/>
      <c r="H57" s="260"/>
    </row>
    <row r="58" spans="4:8" ht="15">
      <c r="D58" s="4"/>
      <c r="F58" s="261"/>
      <c r="H58" s="260"/>
    </row>
    <row r="59" spans="4:8" ht="15">
      <c r="D59" s="4"/>
      <c r="F59" s="261"/>
      <c r="H59" s="260"/>
    </row>
    <row r="60" spans="4:8" ht="15">
      <c r="D60" s="4"/>
      <c r="E60" s="1"/>
      <c r="F60" s="74"/>
      <c r="G60" s="74"/>
      <c r="H60" s="258"/>
    </row>
    <row r="61" spans="4:8" ht="15">
      <c r="D61" s="4"/>
      <c r="E61" s="1"/>
      <c r="F61" s="74"/>
      <c r="G61" s="74"/>
      <c r="H61" s="258"/>
    </row>
    <row r="62" spans="4:8" ht="15">
      <c r="D62" s="1"/>
      <c r="E62" s="1"/>
      <c r="F62" s="74"/>
      <c r="G62" s="74"/>
      <c r="H62" s="258"/>
    </row>
    <row r="63" spans="4:14" ht="15">
      <c r="D63" s="1"/>
      <c r="E63" s="4"/>
      <c r="F63" s="274"/>
      <c r="G63" s="274"/>
      <c r="H63" s="275"/>
      <c r="I63" s="238"/>
      <c r="J63" s="238"/>
      <c r="K63" s="238"/>
      <c r="L63" s="238"/>
      <c r="M63" s="238"/>
      <c r="N63" s="238"/>
    </row>
    <row r="64" spans="4:14" ht="15">
      <c r="D64" s="1"/>
      <c r="E64" s="4"/>
      <c r="F64" s="274"/>
      <c r="G64" s="274"/>
      <c r="H64" s="275"/>
      <c r="I64" s="238"/>
      <c r="J64" s="238"/>
      <c r="K64" s="238"/>
      <c r="L64" s="238"/>
      <c r="M64" s="238"/>
      <c r="N64" s="238"/>
    </row>
    <row r="65" spans="4:14" ht="15">
      <c r="D65" s="1"/>
      <c r="E65" s="4"/>
      <c r="F65" s="274"/>
      <c r="G65" s="274"/>
      <c r="H65" s="275"/>
      <c r="I65" s="238"/>
      <c r="J65" s="238"/>
      <c r="K65" s="238"/>
      <c r="L65" s="238"/>
      <c r="M65" s="238"/>
      <c r="N65" s="238"/>
    </row>
    <row r="66" spans="4:14" ht="15">
      <c r="D66" s="1"/>
      <c r="E66" s="4"/>
      <c r="F66" s="274"/>
      <c r="G66" s="274"/>
      <c r="H66" s="275"/>
      <c r="I66" s="238"/>
      <c r="J66" s="238"/>
      <c r="K66" s="238"/>
      <c r="L66" s="238"/>
      <c r="M66" s="238"/>
      <c r="N66" s="238"/>
    </row>
    <row r="67" spans="4:8" ht="15">
      <c r="D67" s="236"/>
      <c r="E67" s="1"/>
      <c r="F67" s="74"/>
      <c r="G67" s="74"/>
      <c r="H67" s="258"/>
    </row>
    <row r="68" spans="4:8" ht="15">
      <c r="D68" s="236"/>
      <c r="E68" s="1"/>
      <c r="F68" s="74"/>
      <c r="G68" s="74"/>
      <c r="H68" s="258"/>
    </row>
    <row r="69" spans="4:8" ht="15">
      <c r="D69" s="237"/>
      <c r="E69" s="1"/>
      <c r="F69" s="74"/>
      <c r="G69" s="74"/>
      <c r="H69" s="258"/>
    </row>
    <row r="70" spans="4:8" ht="15">
      <c r="D70" s="237"/>
      <c r="E70" s="1"/>
      <c r="F70" s="74"/>
      <c r="G70" s="74"/>
      <c r="H70" s="258"/>
    </row>
    <row r="71" spans="4:8" ht="15">
      <c r="D71" s="236"/>
      <c r="E71" s="1"/>
      <c r="F71" s="74"/>
      <c r="G71" s="74"/>
      <c r="H71" s="258"/>
    </row>
    <row r="72" spans="4:8" ht="15">
      <c r="D72" s="236"/>
      <c r="E72" s="236"/>
      <c r="F72" s="74"/>
      <c r="G72" s="74"/>
      <c r="H72" s="258"/>
    </row>
    <row r="73" spans="4:8" ht="15">
      <c r="D73" s="236"/>
      <c r="E73" s="236"/>
      <c r="F73" s="74"/>
      <c r="G73" s="74"/>
      <c r="H73" s="258"/>
    </row>
    <row r="74" spans="1:14" s="237" customFormat="1" ht="15">
      <c r="A74" s="236"/>
      <c r="B74" s="2"/>
      <c r="C74" s="6"/>
      <c r="D74" s="236"/>
      <c r="F74" s="261"/>
      <c r="G74" s="261"/>
      <c r="H74" s="260"/>
      <c r="I74" s="239"/>
      <c r="J74" s="239"/>
      <c r="K74" s="239"/>
      <c r="L74" s="239"/>
      <c r="M74" s="239"/>
      <c r="N74" s="239"/>
    </row>
    <row r="75" spans="1:14" s="237" customFormat="1" ht="15">
      <c r="A75" s="236"/>
      <c r="B75" s="2"/>
      <c r="C75" s="6"/>
      <c r="D75" s="236"/>
      <c r="F75" s="261"/>
      <c r="G75" s="261"/>
      <c r="H75" s="260"/>
      <c r="I75" s="239"/>
      <c r="J75" s="239"/>
      <c r="K75" s="239"/>
      <c r="L75" s="239"/>
      <c r="M75" s="239"/>
      <c r="N75" s="239"/>
    </row>
    <row r="76" spans="1:14" s="237" customFormat="1" ht="15">
      <c r="A76" s="236"/>
      <c r="B76" s="2"/>
      <c r="C76" s="6"/>
      <c r="D76" s="1"/>
      <c r="E76" s="236"/>
      <c r="F76" s="74"/>
      <c r="G76" s="74"/>
      <c r="H76" s="258"/>
      <c r="I76" s="239"/>
      <c r="J76" s="239"/>
      <c r="K76" s="239"/>
      <c r="L76" s="239"/>
      <c r="M76" s="239"/>
      <c r="N76" s="239"/>
    </row>
    <row r="77" spans="1:14" s="237" customFormat="1" ht="15">
      <c r="A77" s="236"/>
      <c r="B77" s="2"/>
      <c r="C77" s="6"/>
      <c r="D77" s="1"/>
      <c r="E77" s="236"/>
      <c r="F77" s="74"/>
      <c r="G77" s="74"/>
      <c r="H77" s="258"/>
      <c r="I77" s="239"/>
      <c r="J77" s="239"/>
      <c r="K77" s="239"/>
      <c r="L77" s="239"/>
      <c r="M77" s="239"/>
      <c r="N77" s="239"/>
    </row>
    <row r="78" spans="1:14" s="237" customFormat="1" ht="15">
      <c r="A78" s="236"/>
      <c r="B78" s="2"/>
      <c r="C78" s="6"/>
      <c r="D78" s="1"/>
      <c r="E78" s="236"/>
      <c r="F78" s="74"/>
      <c r="G78" s="74"/>
      <c r="H78" s="258"/>
      <c r="I78" s="239"/>
      <c r="J78" s="239"/>
      <c r="K78" s="239"/>
      <c r="L78" s="239"/>
      <c r="M78" s="239"/>
      <c r="N78" s="239"/>
    </row>
    <row r="79" spans="1:14" s="237" customFormat="1" ht="15">
      <c r="A79" s="236"/>
      <c r="B79" s="2"/>
      <c r="C79" s="6"/>
      <c r="D79" s="1"/>
      <c r="E79" s="236"/>
      <c r="F79" s="74"/>
      <c r="G79" s="74"/>
      <c r="H79" s="258"/>
      <c r="I79" s="239"/>
      <c r="J79" s="239"/>
      <c r="K79" s="239"/>
      <c r="L79" s="239"/>
      <c r="M79" s="239"/>
      <c r="N79" s="239"/>
    </row>
    <row r="80" spans="1:14" s="237" customFormat="1" ht="15">
      <c r="A80" s="236"/>
      <c r="B80" s="2"/>
      <c r="C80" s="6"/>
      <c r="D80" s="1"/>
      <c r="E80" s="236"/>
      <c r="F80" s="74"/>
      <c r="G80" s="74"/>
      <c r="H80" s="258"/>
      <c r="I80" s="239"/>
      <c r="J80" s="239"/>
      <c r="K80" s="239"/>
      <c r="L80" s="239"/>
      <c r="M80" s="239"/>
      <c r="N80" s="239"/>
    </row>
    <row r="81" spans="4:8" ht="15">
      <c r="D81" s="1"/>
      <c r="E81" s="1"/>
      <c r="F81" s="74"/>
      <c r="G81" s="74"/>
      <c r="H81" s="258"/>
    </row>
    <row r="82" spans="4:8" ht="15">
      <c r="D82" s="1"/>
      <c r="E82" s="1"/>
      <c r="F82" s="74"/>
      <c r="G82" s="74"/>
      <c r="H82" s="258"/>
    </row>
    <row r="83" spans="4:8" ht="15">
      <c r="D83" s="1"/>
      <c r="E83" s="1"/>
      <c r="F83" s="74"/>
      <c r="G83" s="74"/>
      <c r="H83" s="258"/>
    </row>
    <row r="84" spans="4:8" ht="15">
      <c r="D84" s="1"/>
      <c r="E84" s="1"/>
      <c r="F84" s="74"/>
      <c r="G84" s="74"/>
      <c r="H84" s="258"/>
    </row>
    <row r="85" spans="4:8" ht="15">
      <c r="D85" s="1"/>
      <c r="E85" s="1"/>
      <c r="F85" s="74"/>
      <c r="G85" s="74"/>
      <c r="H85" s="258"/>
    </row>
    <row r="86" spans="4:8" ht="15">
      <c r="D86" s="1"/>
      <c r="E86" s="1"/>
      <c r="F86" s="74"/>
      <c r="G86" s="74"/>
      <c r="H86" s="258"/>
    </row>
    <row r="87" spans="4:8" ht="15">
      <c r="D87" s="1"/>
      <c r="E87" s="1"/>
      <c r="F87" s="74"/>
      <c r="G87" s="74"/>
      <c r="H87" s="258"/>
    </row>
    <row r="88" spans="4:8" ht="15">
      <c r="D88" s="1"/>
      <c r="E88" s="1"/>
      <c r="F88" s="74"/>
      <c r="G88" s="74"/>
      <c r="H88" s="258"/>
    </row>
    <row r="89" spans="4:8" ht="15">
      <c r="D89" s="236"/>
      <c r="E89" s="1"/>
      <c r="F89" s="74"/>
      <c r="G89" s="74"/>
      <c r="H89" s="258"/>
    </row>
    <row r="90" spans="4:8" ht="15">
      <c r="D90" s="1"/>
      <c r="E90" s="1"/>
      <c r="F90" s="74"/>
      <c r="G90" s="74"/>
      <c r="H90" s="258"/>
    </row>
    <row r="91" spans="4:8" ht="15">
      <c r="D91" s="1"/>
      <c r="E91" s="1"/>
      <c r="F91" s="74"/>
      <c r="G91" s="74"/>
      <c r="H91" s="258"/>
    </row>
    <row r="92" spans="4:8" ht="15">
      <c r="D92" s="1"/>
      <c r="E92" s="1"/>
      <c r="F92" s="74"/>
      <c r="G92" s="74"/>
      <c r="H92" s="258"/>
    </row>
    <row r="93" spans="4:8" ht="15">
      <c r="D93" s="1"/>
      <c r="E93" s="1"/>
      <c r="F93" s="74"/>
      <c r="G93" s="74"/>
      <c r="H93" s="258"/>
    </row>
    <row r="94" spans="1:14" s="237" customFormat="1" ht="15">
      <c r="A94" s="236"/>
      <c r="B94" s="2"/>
      <c r="C94" s="6"/>
      <c r="D94" s="1"/>
      <c r="E94" s="236"/>
      <c r="F94" s="74"/>
      <c r="G94" s="74"/>
      <c r="H94" s="258"/>
      <c r="I94" s="239"/>
      <c r="J94" s="239"/>
      <c r="K94" s="239"/>
      <c r="L94" s="239"/>
      <c r="M94" s="239"/>
      <c r="N94" s="239"/>
    </row>
    <row r="95" spans="4:8" ht="15">
      <c r="D95" s="1"/>
      <c r="E95" s="1"/>
      <c r="F95" s="74"/>
      <c r="G95" s="74"/>
      <c r="H95" s="258"/>
    </row>
    <row r="96" spans="4:8" ht="15">
      <c r="D96" s="1"/>
      <c r="E96" s="1"/>
      <c r="F96" s="74"/>
      <c r="G96" s="74"/>
      <c r="H96" s="258"/>
    </row>
    <row r="97" spans="4:8" ht="15">
      <c r="D97" s="1"/>
      <c r="E97" s="1"/>
      <c r="F97" s="74"/>
      <c r="G97" s="74"/>
      <c r="H97" s="258"/>
    </row>
    <row r="98" spans="4:8" ht="15">
      <c r="D98" s="1"/>
      <c r="E98" s="1"/>
      <c r="F98" s="74"/>
      <c r="G98" s="74"/>
      <c r="H98" s="258"/>
    </row>
    <row r="99" spans="4:8" ht="15">
      <c r="D99" s="1"/>
      <c r="E99" s="1"/>
      <c r="F99" s="74"/>
      <c r="G99" s="74"/>
      <c r="H99" s="258"/>
    </row>
    <row r="100" spans="4:8" ht="15">
      <c r="D100" s="1"/>
      <c r="E100" s="1"/>
      <c r="F100" s="74"/>
      <c r="G100" s="74"/>
      <c r="H100" s="258"/>
    </row>
    <row r="101" spans="4:8" ht="15">
      <c r="D101" s="1"/>
      <c r="E101" s="1"/>
      <c r="F101" s="74"/>
      <c r="G101" s="74"/>
      <c r="H101" s="258"/>
    </row>
    <row r="102" spans="4:8" ht="15">
      <c r="D102" s="1"/>
      <c r="E102" s="1"/>
      <c r="F102" s="74"/>
      <c r="G102" s="74"/>
      <c r="H102" s="258"/>
    </row>
    <row r="103" spans="4:8" ht="15">
      <c r="D103" s="1"/>
      <c r="E103" s="1"/>
      <c r="F103" s="74"/>
      <c r="G103" s="74"/>
      <c r="H103" s="258"/>
    </row>
    <row r="104" spans="4:8" ht="15">
      <c r="D104" s="1"/>
      <c r="E104" s="1"/>
      <c r="F104" s="74"/>
      <c r="G104" s="74"/>
      <c r="H104" s="258"/>
    </row>
    <row r="105" spans="4:8" ht="15">
      <c r="D105" s="1"/>
      <c r="E105" s="1"/>
      <c r="F105" s="74"/>
      <c r="G105" s="74"/>
      <c r="H105" s="258"/>
    </row>
    <row r="106" spans="4:8" ht="15">
      <c r="D106" s="1"/>
      <c r="E106" s="1"/>
      <c r="F106" s="74"/>
      <c r="G106" s="74"/>
      <c r="H106" s="258"/>
    </row>
    <row r="107" spans="4:8" ht="15">
      <c r="D107" s="1"/>
      <c r="E107" s="1"/>
      <c r="F107" s="74"/>
      <c r="G107" s="74"/>
      <c r="H107" s="258"/>
    </row>
    <row r="108" spans="4:8" ht="15">
      <c r="D108" s="1"/>
      <c r="E108" s="1"/>
      <c r="F108" s="74"/>
      <c r="G108" s="74"/>
      <c r="H108" s="258"/>
    </row>
    <row r="109" spans="4:8" ht="15">
      <c r="D109" s="1"/>
      <c r="E109" s="1"/>
      <c r="F109" s="74"/>
      <c r="G109" s="74"/>
      <c r="H109" s="258"/>
    </row>
    <row r="110" spans="4:8" ht="15">
      <c r="D110" s="1"/>
      <c r="E110" s="1"/>
      <c r="F110" s="74"/>
      <c r="G110" s="74"/>
      <c r="H110" s="258"/>
    </row>
    <row r="111" spans="4:8" ht="15">
      <c r="D111" s="1"/>
      <c r="E111" s="1"/>
      <c r="F111" s="74"/>
      <c r="G111" s="74"/>
      <c r="H111" s="258"/>
    </row>
    <row r="112" spans="4:8" ht="15">
      <c r="D112" s="1"/>
      <c r="E112" s="1"/>
      <c r="F112" s="74"/>
      <c r="G112" s="74"/>
      <c r="H112" s="258"/>
    </row>
    <row r="113" spans="4:8" ht="15">
      <c r="D113" s="1"/>
      <c r="E113" s="1"/>
      <c r="F113" s="74"/>
      <c r="G113" s="74"/>
      <c r="H113" s="258"/>
    </row>
    <row r="114" spans="4:8" ht="15">
      <c r="D114" s="1"/>
      <c r="E114" s="1"/>
      <c r="F114" s="74"/>
      <c r="G114" s="74"/>
      <c r="H114" s="258"/>
    </row>
    <row r="115" spans="4:8" ht="15">
      <c r="D115" s="1"/>
      <c r="E115" s="1"/>
      <c r="F115" s="74"/>
      <c r="G115" s="74"/>
      <c r="H115" s="258"/>
    </row>
    <row r="116" spans="4:8" ht="15">
      <c r="D116" s="1"/>
      <c r="E116" s="1"/>
      <c r="F116" s="74"/>
      <c r="G116" s="74"/>
      <c r="H116" s="258"/>
    </row>
    <row r="117" spans="4:8" ht="15">
      <c r="D117" s="1"/>
      <c r="E117" s="1"/>
      <c r="F117" s="74"/>
      <c r="G117" s="74"/>
      <c r="H117" s="258"/>
    </row>
    <row r="118" spans="4:8" ht="15">
      <c r="D118" s="1"/>
      <c r="E118" s="1"/>
      <c r="F118" s="74"/>
      <c r="G118" s="74"/>
      <c r="H118" s="258"/>
    </row>
    <row r="119" spans="4:8" ht="15">
      <c r="D119" s="1"/>
      <c r="E119" s="1"/>
      <c r="F119" s="74"/>
      <c r="G119" s="74"/>
      <c r="H119" s="258"/>
    </row>
    <row r="120" spans="4:8" ht="15">
      <c r="D120" s="1"/>
      <c r="E120" s="1"/>
      <c r="F120" s="74"/>
      <c r="G120" s="74"/>
      <c r="H120" s="258"/>
    </row>
    <row r="121" spans="4:8" ht="15">
      <c r="D121" s="1"/>
      <c r="E121" s="1"/>
      <c r="F121" s="74"/>
      <c r="G121" s="74"/>
      <c r="H121" s="258"/>
    </row>
    <row r="122" spans="4:8" ht="15">
      <c r="D122" s="1"/>
      <c r="E122" s="1"/>
      <c r="F122" s="74"/>
      <c r="G122" s="74"/>
      <c r="H122" s="258"/>
    </row>
    <row r="123" spans="4:8" ht="15">
      <c r="D123" s="1"/>
      <c r="E123" s="1"/>
      <c r="F123" s="74"/>
      <c r="G123" s="74"/>
      <c r="H123" s="258"/>
    </row>
    <row r="124" spans="4:8" ht="15">
      <c r="D124" s="1"/>
      <c r="E124" s="1"/>
      <c r="F124" s="74"/>
      <c r="G124" s="74"/>
      <c r="H124" s="258"/>
    </row>
    <row r="125" spans="4:8" ht="15">
      <c r="D125" s="1"/>
      <c r="E125" s="1"/>
      <c r="F125" s="74"/>
      <c r="G125" s="74"/>
      <c r="H125" s="258"/>
    </row>
    <row r="126" spans="4:8" ht="15">
      <c r="D126" s="1"/>
      <c r="E126" s="1"/>
      <c r="F126" s="74"/>
      <c r="G126" s="74"/>
      <c r="H126" s="258"/>
    </row>
    <row r="127" spans="4:8" ht="15">
      <c r="D127" s="1"/>
      <c r="E127" s="1"/>
      <c r="F127" s="74"/>
      <c r="G127" s="74"/>
      <c r="H127" s="258"/>
    </row>
    <row r="128" spans="4:8" ht="15">
      <c r="D128" s="1"/>
      <c r="E128" s="1"/>
      <c r="F128" s="74"/>
      <c r="G128" s="74"/>
      <c r="H128" s="258"/>
    </row>
    <row r="129" spans="4:8" ht="15">
      <c r="D129" s="1"/>
      <c r="E129" s="1"/>
      <c r="F129" s="74"/>
      <c r="G129" s="74"/>
      <c r="H129" s="258"/>
    </row>
    <row r="130" spans="4:8" ht="15">
      <c r="D130" s="1"/>
      <c r="E130" s="1"/>
      <c r="F130" s="74"/>
      <c r="G130" s="74"/>
      <c r="H130" s="258"/>
    </row>
    <row r="131" spans="4:8" ht="15">
      <c r="D131" s="1"/>
      <c r="E131" s="1"/>
      <c r="F131" s="74"/>
      <c r="G131" s="74"/>
      <c r="H131" s="258"/>
    </row>
    <row r="132" spans="4:8" ht="15">
      <c r="D132" s="1"/>
      <c r="E132" s="1"/>
      <c r="F132" s="74"/>
      <c r="G132" s="74"/>
      <c r="H132" s="258"/>
    </row>
    <row r="133" spans="4:8" ht="15">
      <c r="D133" s="1"/>
      <c r="E133" s="1"/>
      <c r="F133" s="74"/>
      <c r="G133" s="74"/>
      <c r="H133" s="258"/>
    </row>
    <row r="134" spans="5:8" ht="15">
      <c r="E134" s="1"/>
      <c r="F134" s="74"/>
      <c r="G134" s="74"/>
      <c r="H134" s="258"/>
    </row>
    <row r="135" spans="5:8" ht="15">
      <c r="E135" s="1"/>
      <c r="F135" s="74"/>
      <c r="G135" s="74"/>
      <c r="H135" s="258"/>
    </row>
    <row r="136" spans="5:8" ht="15">
      <c r="E136" s="1"/>
      <c r="F136" s="74"/>
      <c r="G136" s="74"/>
      <c r="H136" s="258"/>
    </row>
    <row r="137" spans="5:8" ht="15">
      <c r="E137" s="1"/>
      <c r="F137" s="74"/>
      <c r="G137" s="74"/>
      <c r="H137" s="258"/>
    </row>
    <row r="138" spans="5:8" ht="15">
      <c r="E138" s="1"/>
      <c r="F138" s="74"/>
      <c r="G138" s="74"/>
      <c r="H138" s="258"/>
    </row>
    <row r="139" spans="6:8" ht="15">
      <c r="F139" s="261"/>
      <c r="H139" s="260"/>
    </row>
    <row r="140" spans="6:8" ht="15">
      <c r="F140" s="261"/>
      <c r="H140" s="260"/>
    </row>
    <row r="141" spans="6:8" ht="15">
      <c r="F141" s="261"/>
      <c r="H141" s="260"/>
    </row>
    <row r="142" spans="6:8" ht="15">
      <c r="F142" s="261"/>
      <c r="H142" s="260"/>
    </row>
    <row r="143" spans="6:8" ht="15">
      <c r="F143" s="261"/>
      <c r="H143" s="260"/>
    </row>
    <row r="144" spans="6:8" ht="15">
      <c r="F144" s="261"/>
      <c r="H144" s="260"/>
    </row>
    <row r="145" spans="6:8" ht="15">
      <c r="F145" s="261"/>
      <c r="H145" s="260"/>
    </row>
    <row r="146" spans="6:8" ht="15">
      <c r="F146" s="261"/>
      <c r="H146" s="260"/>
    </row>
    <row r="147" spans="6:8" ht="15">
      <c r="F147" s="261"/>
      <c r="H147" s="260"/>
    </row>
    <row r="148" spans="6:8" ht="15">
      <c r="F148" s="261"/>
      <c r="H148" s="260"/>
    </row>
  </sheetData>
  <sheetProtection/>
  <mergeCells count="12">
    <mergeCell ref="E5:E6"/>
    <mergeCell ref="J5:N5"/>
    <mergeCell ref="B2:N2"/>
    <mergeCell ref="B1:D1"/>
    <mergeCell ref="B5:B6"/>
    <mergeCell ref="D5:D6"/>
    <mergeCell ref="H1:I1"/>
    <mergeCell ref="I5:I6"/>
    <mergeCell ref="C5:C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1968503937007874"/>
  <pageSetup horizontalDpi="600" verticalDpi="600" orientation="landscape" paperSize="9" scale="61" r:id="rId1"/>
  <headerFooter alignWithMargins="0"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="75" zoomScaleSheetLayoutView="75" zoomScalePageLayoutView="0" workbookViewId="0" topLeftCell="A1">
      <pane ySplit="6" topLeftCell="A7" activePane="bottomLeft" state="frozen"/>
      <selection pane="topLeft" activeCell="E19" sqref="E19"/>
      <selection pane="bottomLeft" activeCell="L15" sqref="L15"/>
    </sheetView>
  </sheetViews>
  <sheetFormatPr defaultColWidth="9.00390625" defaultRowHeight="12.75"/>
  <cols>
    <col min="1" max="1" width="5.75390625" style="75" customWidth="1"/>
    <col min="2" max="2" width="47.75390625" style="83" customWidth="1"/>
    <col min="3" max="3" width="12.75390625" style="84" hidden="1" customWidth="1"/>
    <col min="4" max="4" width="12.75390625" style="78" customWidth="1"/>
    <col min="5" max="5" width="12.75390625" style="85" customWidth="1"/>
    <col min="6" max="6" width="12.75390625" style="78" customWidth="1"/>
    <col min="7" max="7" width="12.75390625" style="78" hidden="1" customWidth="1"/>
    <col min="8" max="8" width="12.75390625" style="78" customWidth="1"/>
    <col min="9" max="9" width="22.625" style="75" customWidth="1"/>
    <col min="10" max="16384" width="9.125" style="75" customWidth="1"/>
  </cols>
  <sheetData>
    <row r="1" spans="1:8" ht="16.5">
      <c r="A1" s="87"/>
      <c r="B1" s="723" t="s">
        <v>328</v>
      </c>
      <c r="C1" s="723"/>
      <c r="D1" s="723"/>
      <c r="E1" s="723"/>
      <c r="F1" s="87"/>
      <c r="G1" s="87"/>
      <c r="H1" s="87"/>
    </row>
    <row r="2" spans="1:8" ht="30" customHeight="1">
      <c r="A2" s="724" t="s">
        <v>219</v>
      </c>
      <c r="B2" s="724"/>
      <c r="C2" s="724"/>
      <c r="D2" s="724"/>
      <c r="E2" s="724"/>
      <c r="F2" s="724"/>
      <c r="G2" s="724"/>
      <c r="H2" s="724"/>
    </row>
    <row r="3" spans="2:8" ht="17.25">
      <c r="B3" s="77"/>
      <c r="C3" s="77"/>
      <c r="D3" s="725"/>
      <c r="E3" s="725"/>
      <c r="F3" s="725" t="s">
        <v>147</v>
      </c>
      <c r="G3" s="725"/>
      <c r="H3" s="725"/>
    </row>
    <row r="4" spans="2:8" s="79" customFormat="1" ht="17.25" thickBot="1">
      <c r="B4" s="79" t="s">
        <v>155</v>
      </c>
      <c r="C4" s="79" t="s">
        <v>156</v>
      </c>
      <c r="D4" s="79" t="s">
        <v>156</v>
      </c>
      <c r="E4" s="79" t="s">
        <v>157</v>
      </c>
      <c r="F4" s="79" t="s">
        <v>158</v>
      </c>
      <c r="H4" s="79" t="s">
        <v>159</v>
      </c>
    </row>
    <row r="5" spans="1:8" s="81" customFormat="1" ht="15" customHeight="1" thickTop="1">
      <c r="A5" s="726" t="s">
        <v>162</v>
      </c>
      <c r="B5" s="721" t="s">
        <v>148</v>
      </c>
      <c r="C5" s="719" t="s">
        <v>149</v>
      </c>
      <c r="D5" s="719" t="s">
        <v>161</v>
      </c>
      <c r="E5" s="719" t="s">
        <v>220</v>
      </c>
      <c r="F5" s="719" t="s">
        <v>221</v>
      </c>
      <c r="G5" s="719" t="s">
        <v>222</v>
      </c>
      <c r="H5" s="728" t="s">
        <v>222</v>
      </c>
    </row>
    <row r="6" spans="1:8" s="81" customFormat="1" ht="33.75" customHeight="1">
      <c r="A6" s="727"/>
      <c r="B6" s="722"/>
      <c r="C6" s="730"/>
      <c r="D6" s="730"/>
      <c r="E6" s="720"/>
      <c r="F6" s="720"/>
      <c r="G6" s="720"/>
      <c r="H6" s="729"/>
    </row>
    <row r="7" spans="1:8" ht="18">
      <c r="A7" s="658"/>
      <c r="B7" s="659" t="s">
        <v>233</v>
      </c>
      <c r="C7" s="660"/>
      <c r="D7" s="661"/>
      <c r="E7" s="660"/>
      <c r="F7" s="660"/>
      <c r="G7" s="660"/>
      <c r="H7" s="662"/>
    </row>
    <row r="8" spans="1:8" s="82" customFormat="1" ht="34.5" customHeight="1">
      <c r="A8" s="658">
        <v>1</v>
      </c>
      <c r="B8" s="663" t="s">
        <v>234</v>
      </c>
      <c r="C8" s="660"/>
      <c r="D8" s="661">
        <f>'10. Tábla'!I76</f>
        <v>71632.875</v>
      </c>
      <c r="E8" s="660">
        <v>38436</v>
      </c>
      <c r="F8" s="660">
        <v>31436</v>
      </c>
      <c r="G8" s="660">
        <v>38436</v>
      </c>
      <c r="H8" s="662">
        <v>31436</v>
      </c>
    </row>
    <row r="9" spans="1:8" ht="51.75" customHeight="1" thickBot="1">
      <c r="A9" s="664">
        <v>2</v>
      </c>
      <c r="B9" s="665" t="s">
        <v>235</v>
      </c>
      <c r="C9" s="666"/>
      <c r="D9" s="667">
        <f>'10. Tábla'!I102</f>
        <v>427494.83508999995</v>
      </c>
      <c r="E9" s="667">
        <f>265367+190000</f>
        <v>455367</v>
      </c>
      <c r="F9" s="667">
        <f>291584+190000</f>
        <v>481584</v>
      </c>
      <c r="G9" s="667"/>
      <c r="H9" s="668">
        <f>318051+190000</f>
        <v>508051</v>
      </c>
    </row>
    <row r="10" spans="1:8" ht="19.5" thickBot="1" thickTop="1">
      <c r="A10" s="657">
        <v>3</v>
      </c>
      <c r="B10" s="394" t="s">
        <v>146</v>
      </c>
      <c r="C10" s="80" t="e">
        <f>SUM(#REF!,#REF!)</f>
        <v>#REF!</v>
      </c>
      <c r="D10" s="80">
        <f>D8+D9</f>
        <v>499127.71008999995</v>
      </c>
      <c r="E10" s="80">
        <f>E8+E9</f>
        <v>493803</v>
      </c>
      <c r="F10" s="80">
        <f>F8+F9</f>
        <v>513020</v>
      </c>
      <c r="G10" s="80">
        <f>G8+G9</f>
        <v>38436</v>
      </c>
      <c r="H10" s="80">
        <f>H8+H9</f>
        <v>539487</v>
      </c>
    </row>
    <row r="15" spans="1:8" ht="16.5">
      <c r="A15" s="83"/>
      <c r="B15" s="75"/>
      <c r="C15" s="75"/>
      <c r="D15" s="75"/>
      <c r="E15" s="86"/>
      <c r="F15" s="75"/>
      <c r="G15" s="75"/>
      <c r="H15" s="75"/>
    </row>
  </sheetData>
  <sheetProtection/>
  <mergeCells count="12">
    <mergeCell ref="C5:C6"/>
    <mergeCell ref="D5:D6"/>
    <mergeCell ref="E5:E6"/>
    <mergeCell ref="F5:F6"/>
    <mergeCell ref="B5:B6"/>
    <mergeCell ref="B1:E1"/>
    <mergeCell ref="A2:H2"/>
    <mergeCell ref="F3:H3"/>
    <mergeCell ref="D3:E3"/>
    <mergeCell ref="A5:A6"/>
    <mergeCell ref="H5:H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3.625" style="403" bestFit="1" customWidth="1"/>
    <col min="2" max="2" width="48.625" style="404" customWidth="1"/>
    <col min="3" max="7" width="11.75390625" style="397" customWidth="1"/>
    <col min="8" max="8" width="11.75390625" style="400" customWidth="1"/>
    <col min="9" max="9" width="11.75390625" style="397" customWidth="1"/>
    <col min="10" max="10" width="9.125" style="401" customWidth="1"/>
    <col min="11" max="11" width="10.125" style="401" bestFit="1" customWidth="1"/>
    <col min="12" max="16384" width="9.125" style="401" customWidth="1"/>
  </cols>
  <sheetData>
    <row r="1" spans="1:9" ht="15">
      <c r="A1" s="396"/>
      <c r="B1" s="396" t="s">
        <v>332</v>
      </c>
      <c r="H1" s="398"/>
      <c r="I1" s="399"/>
    </row>
    <row r="2" spans="1:9" ht="15">
      <c r="A2" s="396"/>
      <c r="B2" s="735"/>
      <c r="C2" s="735"/>
      <c r="D2" s="735"/>
      <c r="E2" s="735"/>
      <c r="F2" s="735"/>
      <c r="G2" s="735"/>
      <c r="H2" s="735"/>
      <c r="I2" s="735"/>
    </row>
    <row r="3" spans="2:9" ht="15">
      <c r="B3" s="736"/>
      <c r="C3" s="736"/>
      <c r="D3" s="736"/>
      <c r="E3" s="736"/>
      <c r="F3" s="736"/>
      <c r="G3" s="736"/>
      <c r="H3" s="736"/>
      <c r="I3" s="736"/>
    </row>
    <row r="4" spans="2:9" ht="15">
      <c r="B4" s="736" t="s">
        <v>88</v>
      </c>
      <c r="C4" s="736"/>
      <c r="D4" s="736"/>
      <c r="E4" s="736"/>
      <c r="F4" s="736"/>
      <c r="G4" s="736"/>
      <c r="H4" s="736"/>
      <c r="I4" s="736"/>
    </row>
    <row r="5" spans="8:9" ht="15">
      <c r="H5" s="399"/>
      <c r="I5" s="405" t="s">
        <v>147</v>
      </c>
    </row>
    <row r="6" spans="1:9" s="402" customFormat="1" ht="15.75" thickBot="1">
      <c r="A6" s="403"/>
      <c r="B6" s="406" t="s">
        <v>154</v>
      </c>
      <c r="C6" s="407" t="s">
        <v>155</v>
      </c>
      <c r="D6" s="407" t="s">
        <v>156</v>
      </c>
      <c r="E6" s="407" t="s">
        <v>157</v>
      </c>
      <c r="F6" s="407" t="s">
        <v>158</v>
      </c>
      <c r="G6" s="407" t="s">
        <v>159</v>
      </c>
      <c r="H6" s="408" t="s">
        <v>160</v>
      </c>
      <c r="I6" s="407" t="s">
        <v>122</v>
      </c>
    </row>
    <row r="7" spans="2:9" ht="30" customHeight="1" thickTop="1">
      <c r="B7" s="733" t="s">
        <v>148</v>
      </c>
      <c r="C7" s="731" t="s">
        <v>192</v>
      </c>
      <c r="D7" s="731" t="s">
        <v>217</v>
      </c>
      <c r="E7" s="731" t="s">
        <v>197</v>
      </c>
      <c r="F7" s="731" t="s">
        <v>109</v>
      </c>
      <c r="G7" s="731"/>
      <c r="H7" s="731" t="s">
        <v>161</v>
      </c>
      <c r="I7" s="737" t="s">
        <v>218</v>
      </c>
    </row>
    <row r="8" spans="2:9" ht="45" customHeight="1">
      <c r="B8" s="734"/>
      <c r="C8" s="732"/>
      <c r="D8" s="732"/>
      <c r="E8" s="732"/>
      <c r="F8" s="551" t="s">
        <v>141</v>
      </c>
      <c r="G8" s="551" t="s">
        <v>89</v>
      </c>
      <c r="H8" s="732"/>
      <c r="I8" s="738"/>
    </row>
    <row r="9" spans="2:9" ht="15">
      <c r="B9" s="552" t="s">
        <v>228</v>
      </c>
      <c r="C9" s="553">
        <v>8713230.75218</v>
      </c>
      <c r="D9" s="554">
        <v>8083229.883</v>
      </c>
      <c r="E9" s="553">
        <v>490004</v>
      </c>
      <c r="F9" s="553">
        <f>265580/1000+2570275/1000</f>
        <v>2835.855</v>
      </c>
      <c r="G9" s="553">
        <v>0</v>
      </c>
      <c r="H9" s="554">
        <f>'10. Tábla'!G85</f>
        <v>2835.855</v>
      </c>
      <c r="I9" s="555">
        <v>0</v>
      </c>
    </row>
    <row r="10" spans="2:9" ht="15">
      <c r="B10" s="552" t="s">
        <v>229</v>
      </c>
      <c r="C10" s="553">
        <f>D10+E10+H10+I10</f>
        <v>3429788.9560000002</v>
      </c>
      <c r="D10" s="554">
        <v>345323</v>
      </c>
      <c r="E10" s="553">
        <v>1592180</v>
      </c>
      <c r="F10" s="553">
        <f>'12. EU.projektek'!G9</f>
        <v>1492285.9562792</v>
      </c>
      <c r="G10" s="553">
        <v>0</v>
      </c>
      <c r="H10" s="554">
        <f>'10. Tábla'!I91</f>
        <v>1492285.956</v>
      </c>
      <c r="I10" s="556">
        <v>0</v>
      </c>
    </row>
    <row r="11" spans="2:9" ht="15">
      <c r="B11" s="552" t="s">
        <v>231</v>
      </c>
      <c r="C11" s="553">
        <f>'10. Tábla'!G95</f>
        <v>1386554.6</v>
      </c>
      <c r="D11" s="554">
        <v>0</v>
      </c>
      <c r="E11" s="553">
        <v>0</v>
      </c>
      <c r="F11" s="553">
        <f>'10. Tábla'!G95</f>
        <v>1386554.6</v>
      </c>
      <c r="G11" s="553">
        <v>0</v>
      </c>
      <c r="H11" s="554">
        <f>'10. Tábla'!G95</f>
        <v>1386554.6</v>
      </c>
      <c r="I11" s="556">
        <v>0</v>
      </c>
    </row>
    <row r="12" spans="2:9" ht="15.75" thickBot="1">
      <c r="B12" s="557" t="s">
        <v>146</v>
      </c>
      <c r="C12" s="558">
        <f>SUM(C9:C11)</f>
        <v>13529574.30818</v>
      </c>
      <c r="D12" s="558">
        <f aca="true" t="shared" si="0" ref="D12:I12">SUM(D9:D11)</f>
        <v>8428552.883000001</v>
      </c>
      <c r="E12" s="558">
        <f t="shared" si="0"/>
        <v>2082184</v>
      </c>
      <c r="F12" s="558">
        <f t="shared" si="0"/>
        <v>2881676.4112792</v>
      </c>
      <c r="G12" s="558">
        <f t="shared" si="0"/>
        <v>0</v>
      </c>
      <c r="H12" s="558">
        <f t="shared" si="0"/>
        <v>2881676.4110000003</v>
      </c>
      <c r="I12" s="559">
        <f t="shared" si="0"/>
        <v>0</v>
      </c>
    </row>
    <row r="13" ht="15.75" thickTop="1"/>
    <row r="14" spans="2:9" ht="15">
      <c r="B14" s="411"/>
      <c r="C14" s="410"/>
      <c r="D14" s="413"/>
      <c r="E14" s="412"/>
      <c r="F14" s="412"/>
      <c r="G14" s="412"/>
      <c r="H14" s="409"/>
      <c r="I14" s="414"/>
    </row>
  </sheetData>
  <sheetProtection/>
  <mergeCells count="10">
    <mergeCell ref="C7:C8"/>
    <mergeCell ref="B7:B8"/>
    <mergeCell ref="B2:I2"/>
    <mergeCell ref="B3:I3"/>
    <mergeCell ref="B4:I4"/>
    <mergeCell ref="F7:G7"/>
    <mergeCell ref="I7:I8"/>
    <mergeCell ref="H7:H8"/>
    <mergeCell ref="E7:E8"/>
    <mergeCell ref="D7:D8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Normal="75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8.75390625" style="168" customWidth="1"/>
    <col min="2" max="2" width="62.625" style="17" bestFit="1" customWidth="1"/>
    <col min="3" max="3" width="16.75390625" style="15" customWidth="1"/>
    <col min="4" max="4" width="8.75390625" style="168" customWidth="1"/>
    <col min="5" max="5" width="54.00390625" style="17" bestFit="1" customWidth="1"/>
    <col min="6" max="6" width="16.75390625" style="15" customWidth="1"/>
    <col min="7" max="7" width="3.625" style="101" customWidth="1"/>
    <col min="8" max="16384" width="9.125" style="17" customWidth="1"/>
  </cols>
  <sheetData>
    <row r="1" spans="1:7" s="93" customFormat="1" ht="15">
      <c r="A1" s="740" t="s">
        <v>327</v>
      </c>
      <c r="B1" s="740"/>
      <c r="C1" s="30"/>
      <c r="D1" s="92"/>
      <c r="F1" s="94"/>
      <c r="G1" s="95"/>
    </row>
    <row r="2" spans="1:7" s="93" customFormat="1" ht="26.25" customHeight="1">
      <c r="A2" s="739" t="s">
        <v>307</v>
      </c>
      <c r="B2" s="739"/>
      <c r="C2" s="739"/>
      <c r="D2" s="739"/>
      <c r="E2" s="739"/>
      <c r="F2" s="739"/>
      <c r="G2" s="95"/>
    </row>
    <row r="3" spans="1:7" s="93" customFormat="1" ht="27.75" customHeight="1">
      <c r="A3" s="739" t="s">
        <v>105</v>
      </c>
      <c r="B3" s="739"/>
      <c r="C3" s="739"/>
      <c r="D3" s="739"/>
      <c r="E3" s="739"/>
      <c r="F3" s="739"/>
      <c r="G3" s="95"/>
    </row>
    <row r="4" spans="1:6" ht="25.5" customHeight="1">
      <c r="A4" s="96"/>
      <c r="B4" s="97" t="s">
        <v>54</v>
      </c>
      <c r="C4" s="98" t="s">
        <v>55</v>
      </c>
      <c r="D4" s="99"/>
      <c r="E4" s="100" t="s">
        <v>56</v>
      </c>
      <c r="F4" s="395" t="s">
        <v>55</v>
      </c>
    </row>
    <row r="5" spans="1:6" ht="15" customHeight="1">
      <c r="A5" s="102" t="s">
        <v>211</v>
      </c>
      <c r="B5" s="17" t="s">
        <v>103</v>
      </c>
      <c r="C5" s="103">
        <v>0</v>
      </c>
      <c r="D5" s="104" t="s">
        <v>211</v>
      </c>
      <c r="E5" s="17" t="s">
        <v>57</v>
      </c>
      <c r="F5" s="105">
        <f>'10. Tábla'!I109+'10. Tábla'!I111</f>
        <v>12677</v>
      </c>
    </row>
    <row r="6" spans="1:6" ht="15" customHeight="1">
      <c r="A6" s="102" t="s">
        <v>212</v>
      </c>
      <c r="B6" s="17" t="s">
        <v>126</v>
      </c>
      <c r="C6" s="103">
        <v>0</v>
      </c>
      <c r="D6" s="104" t="s">
        <v>212</v>
      </c>
      <c r="E6" s="17" t="s">
        <v>58</v>
      </c>
      <c r="F6" s="105">
        <f>'10. Tábla'!I110</f>
        <v>4004</v>
      </c>
    </row>
    <row r="7" spans="1:6" ht="15">
      <c r="A7" s="102" t="s">
        <v>213</v>
      </c>
      <c r="B7" s="14" t="s">
        <v>165</v>
      </c>
      <c r="C7" s="103">
        <f>'10. Tábla'!I56+'10. Tábla'!I64</f>
        <v>186627.5940220583</v>
      </c>
      <c r="D7" s="104" t="s">
        <v>213</v>
      </c>
      <c r="E7" s="24" t="s">
        <v>59</v>
      </c>
      <c r="F7" s="105">
        <f>'10. Tábla'!I112+'10. Tábla'!I117</f>
        <v>169946.5940220583</v>
      </c>
    </row>
    <row r="8" spans="1:6" ht="15">
      <c r="A8" s="102" t="s">
        <v>214</v>
      </c>
      <c r="B8" s="24" t="s">
        <v>168</v>
      </c>
      <c r="C8" s="103">
        <v>0</v>
      </c>
      <c r="D8" s="106" t="s">
        <v>214</v>
      </c>
      <c r="E8" s="24" t="s">
        <v>166</v>
      </c>
      <c r="F8" s="105">
        <v>0</v>
      </c>
    </row>
    <row r="9" spans="1:6" ht="15">
      <c r="A9" s="102"/>
      <c r="B9" s="14"/>
      <c r="C9" s="103"/>
      <c r="D9" s="106" t="s">
        <v>215</v>
      </c>
      <c r="E9" s="202" t="s">
        <v>3</v>
      </c>
      <c r="F9" s="108">
        <v>0</v>
      </c>
    </row>
    <row r="10" spans="1:7" s="93" customFormat="1" ht="24.75" customHeight="1">
      <c r="A10" s="109"/>
      <c r="B10" s="110" t="s">
        <v>205</v>
      </c>
      <c r="C10" s="111">
        <f>SUM(C5:C9)</f>
        <v>186627.5940220583</v>
      </c>
      <c r="D10" s="112"/>
      <c r="E10" s="110" t="s">
        <v>200</v>
      </c>
      <c r="F10" s="113">
        <f>SUM(F5:F9)</f>
        <v>186627.5940220583</v>
      </c>
      <c r="G10" s="95"/>
    </row>
    <row r="11" spans="1:7" ht="23.25" customHeight="1">
      <c r="A11" s="114"/>
      <c r="B11" s="18" t="s">
        <v>61</v>
      </c>
      <c r="C11" s="115"/>
      <c r="D11" s="116"/>
      <c r="E11" s="18" t="s">
        <v>62</v>
      </c>
      <c r="F11" s="117"/>
      <c r="G11" s="118"/>
    </row>
    <row r="12" spans="1:7" ht="15">
      <c r="A12" s="119" t="s">
        <v>211</v>
      </c>
      <c r="B12" s="107" t="s">
        <v>104</v>
      </c>
      <c r="C12" s="120">
        <f>'10. Tábla'!G123</f>
        <v>4496110.9895</v>
      </c>
      <c r="D12" s="121" t="s">
        <v>211</v>
      </c>
      <c r="E12" s="107" t="s">
        <v>141</v>
      </c>
      <c r="F12" s="117">
        <f>'10. Tábla'!I95+'10. Tábla'!I91+'10. Tábla'!I89+'10. Tábla'!I87+'10. Tábla'!I85</f>
        <v>3262046.92135</v>
      </c>
      <c r="G12" s="122"/>
    </row>
    <row r="13" spans="1:7" ht="15">
      <c r="A13" s="119" t="s">
        <v>212</v>
      </c>
      <c r="B13" s="107" t="s">
        <v>167</v>
      </c>
      <c r="C13" s="120">
        <f>'10. Tábla'!G121-'10. Tábla'!I56+'10. Tábla'!G125+'10. Tábla'!G124</f>
        <v>957056.3374400001</v>
      </c>
      <c r="D13" s="121" t="s">
        <v>212</v>
      </c>
      <c r="E13" s="107" t="s">
        <v>142</v>
      </c>
      <c r="F13" s="117">
        <v>0</v>
      </c>
      <c r="G13" s="122"/>
    </row>
    <row r="14" spans="1:7" ht="15">
      <c r="A14" s="119" t="s">
        <v>213</v>
      </c>
      <c r="B14" s="17" t="s">
        <v>169</v>
      </c>
      <c r="C14" s="120">
        <f>'10. Tábla'!G120</f>
        <v>4561.865</v>
      </c>
      <c r="D14" s="121" t="s">
        <v>213</v>
      </c>
      <c r="E14" s="107" t="s">
        <v>4</v>
      </c>
      <c r="F14" s="117">
        <f>'10. Tábla'!I83+'10. Tábla'!I76+'10. Tábla'!I101+'10. Tábla'!I99</f>
        <v>2223021.27059</v>
      </c>
      <c r="G14" s="122"/>
    </row>
    <row r="15" spans="1:7" s="93" customFormat="1" ht="24.75" customHeight="1" thickBot="1">
      <c r="A15" s="124"/>
      <c r="B15" s="125" t="s">
        <v>206</v>
      </c>
      <c r="C15" s="126">
        <f>SUM(C12:C14)</f>
        <v>5457729.19194</v>
      </c>
      <c r="D15" s="127"/>
      <c r="E15" s="125" t="s">
        <v>201</v>
      </c>
      <c r="F15" s="128">
        <f>SUM(F12:F14)</f>
        <v>5485068.19194</v>
      </c>
      <c r="G15" s="95"/>
    </row>
    <row r="16" spans="1:7" s="93" customFormat="1" ht="24.75" customHeight="1" thickBot="1" thickTop="1">
      <c r="A16" s="129"/>
      <c r="B16" s="130" t="s">
        <v>170</v>
      </c>
      <c r="C16" s="131">
        <f>C10+C15</f>
        <v>5644356.785962058</v>
      </c>
      <c r="D16" s="132"/>
      <c r="E16" s="130" t="s">
        <v>202</v>
      </c>
      <c r="F16" s="133">
        <f>F10+F15</f>
        <v>5671695.785962058</v>
      </c>
      <c r="G16" s="95"/>
    </row>
    <row r="17" spans="1:7" s="93" customFormat="1" ht="24.75" customHeight="1" thickTop="1">
      <c r="A17" s="134"/>
      <c r="B17" s="18" t="s">
        <v>64</v>
      </c>
      <c r="C17" s="135"/>
      <c r="D17" s="136"/>
      <c r="E17" s="18" t="s">
        <v>65</v>
      </c>
      <c r="F17" s="137"/>
      <c r="G17" s="95"/>
    </row>
    <row r="18" spans="1:7" s="93" customFormat="1" ht="15">
      <c r="A18" s="138" t="s">
        <v>211</v>
      </c>
      <c r="B18" s="93" t="s">
        <v>68</v>
      </c>
      <c r="C18" s="135">
        <v>0</v>
      </c>
      <c r="D18" s="136" t="s">
        <v>211</v>
      </c>
      <c r="E18" s="93" t="s">
        <v>69</v>
      </c>
      <c r="F18" s="137">
        <v>0</v>
      </c>
      <c r="G18" s="95"/>
    </row>
    <row r="19" spans="1:7" s="93" customFormat="1" ht="15">
      <c r="A19" s="138" t="s">
        <v>212</v>
      </c>
      <c r="B19" s="93" t="s">
        <v>5</v>
      </c>
      <c r="C19" s="135">
        <v>0</v>
      </c>
      <c r="D19" s="136"/>
      <c r="F19" s="137"/>
      <c r="G19" s="95"/>
    </row>
    <row r="20" spans="1:7" s="93" customFormat="1" ht="24.75" customHeight="1">
      <c r="A20" s="134"/>
      <c r="B20" s="18" t="s">
        <v>70</v>
      </c>
      <c r="C20" s="135"/>
      <c r="D20" s="136"/>
      <c r="E20" s="18" t="s">
        <v>71</v>
      </c>
      <c r="F20" s="137"/>
      <c r="G20" s="95"/>
    </row>
    <row r="21" spans="1:7" s="93" customFormat="1" ht="15">
      <c r="A21" s="138" t="s">
        <v>213</v>
      </c>
      <c r="B21" s="139" t="s">
        <v>66</v>
      </c>
      <c r="C21" s="135">
        <v>0</v>
      </c>
      <c r="D21" s="136" t="s">
        <v>212</v>
      </c>
      <c r="E21" s="139" t="s">
        <v>67</v>
      </c>
      <c r="F21" s="137">
        <v>0</v>
      </c>
      <c r="G21" s="95"/>
    </row>
    <row r="22" spans="1:7" s="93" customFormat="1" ht="15">
      <c r="A22" s="138" t="s">
        <v>214</v>
      </c>
      <c r="B22" s="93" t="s">
        <v>68</v>
      </c>
      <c r="C22" s="135">
        <v>0</v>
      </c>
      <c r="D22" s="136" t="s">
        <v>213</v>
      </c>
      <c r="E22" s="93" t="s">
        <v>69</v>
      </c>
      <c r="F22" s="137">
        <v>0</v>
      </c>
      <c r="G22" s="95"/>
    </row>
    <row r="23" spans="1:7" s="93" customFormat="1" ht="15">
      <c r="A23" s="138" t="s">
        <v>215</v>
      </c>
      <c r="B23" s="93" t="s">
        <v>5</v>
      </c>
      <c r="C23" s="135">
        <f>'10. Tábla'!G126</f>
        <v>27339</v>
      </c>
      <c r="D23" s="136"/>
      <c r="F23" s="137"/>
      <c r="G23" s="95"/>
    </row>
    <row r="24" spans="1:7" s="146" customFormat="1" ht="15.75" thickBot="1">
      <c r="A24" s="140"/>
      <c r="B24" s="141" t="s">
        <v>207</v>
      </c>
      <c r="C24" s="142">
        <f>SUM(C18:C23)</f>
        <v>27339</v>
      </c>
      <c r="D24" s="143"/>
      <c r="E24" s="141" t="s">
        <v>203</v>
      </c>
      <c r="F24" s="144">
        <f>SUM(F17:F22)</f>
        <v>0</v>
      </c>
      <c r="G24" s="145"/>
    </row>
    <row r="25" spans="1:7" s="93" customFormat="1" ht="30" customHeight="1" thickBot="1" thickTop="1">
      <c r="A25" s="147"/>
      <c r="B25" s="141" t="s">
        <v>208</v>
      </c>
      <c r="C25" s="148">
        <f>SUM(C21:C22,C18:C18,C15,C10)</f>
        <v>5644356.785962058</v>
      </c>
      <c r="D25" s="149"/>
      <c r="E25" s="141" t="s">
        <v>204</v>
      </c>
      <c r="F25" s="150">
        <f>SUM(F21:F22,F15,F18:F18,F10)</f>
        <v>5671695.785962058</v>
      </c>
      <c r="G25" s="95"/>
    </row>
    <row r="26" spans="1:7" s="93" customFormat="1" ht="15.75" thickTop="1">
      <c r="A26" s="151"/>
      <c r="B26" s="152" t="s">
        <v>6</v>
      </c>
      <c r="C26" s="153">
        <f>C16-F16</f>
        <v>-27339</v>
      </c>
      <c r="D26" s="154"/>
      <c r="E26" s="155"/>
      <c r="F26" s="156"/>
      <c r="G26" s="95"/>
    </row>
    <row r="27" spans="1:7" s="93" customFormat="1" ht="30">
      <c r="A27" s="157"/>
      <c r="B27" s="534" t="s">
        <v>309</v>
      </c>
      <c r="C27" s="159">
        <v>0</v>
      </c>
      <c r="D27" s="160"/>
      <c r="E27" s="158"/>
      <c r="F27" s="161"/>
      <c r="G27" s="95"/>
    </row>
    <row r="28" spans="1:6" ht="19.5" customHeight="1">
      <c r="A28" s="123"/>
      <c r="B28" s="17" t="s">
        <v>72</v>
      </c>
      <c r="C28" s="162">
        <f>C10/F25</f>
        <v>0.03290507831607927</v>
      </c>
      <c r="D28" s="163"/>
      <c r="E28" s="17" t="s">
        <v>73</v>
      </c>
      <c r="F28" s="162">
        <f>F10/F25</f>
        <v>0.03290507831607927</v>
      </c>
    </row>
    <row r="29" spans="1:6" ht="19.5" customHeight="1">
      <c r="A29" s="164"/>
      <c r="B29" s="165" t="s">
        <v>74</v>
      </c>
      <c r="C29" s="166">
        <f>C15/C25</f>
        <v>0.9669355426846483</v>
      </c>
      <c r="D29" s="167"/>
      <c r="E29" s="165" t="s">
        <v>75</v>
      </c>
      <c r="F29" s="166">
        <f>F15/F25</f>
        <v>0.9670949216839207</v>
      </c>
    </row>
    <row r="30" ht="15">
      <c r="E30" s="17" t="s">
        <v>199</v>
      </c>
    </row>
    <row r="31" ht="15">
      <c r="C31" s="15" t="s">
        <v>199</v>
      </c>
    </row>
  </sheetData>
  <sheetProtection/>
  <mergeCells count="3">
    <mergeCell ref="A2:F2"/>
    <mergeCell ref="A3:F3"/>
    <mergeCell ref="A1:B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view="pageBreakPreview" zoomScaleSheetLayoutView="100" zoomScalePageLayoutView="0" workbookViewId="0" topLeftCell="A1">
      <selection activeCell="B2" sqref="B2:F2"/>
    </sheetView>
  </sheetViews>
  <sheetFormatPr defaultColWidth="31.25390625" defaultRowHeight="12.75"/>
  <cols>
    <col min="1" max="1" width="3.25390625" style="169" bestFit="1" customWidth="1"/>
    <col min="2" max="2" width="50.75390625" style="233" customWidth="1"/>
    <col min="3" max="5" width="13.75390625" style="171" customWidth="1"/>
    <col min="6" max="6" width="30.75390625" style="174" customWidth="1"/>
    <col min="7" max="7" width="12.125" style="172" customWidth="1"/>
    <col min="8" max="8" width="12.875" style="172" customWidth="1"/>
    <col min="9" max="16384" width="31.25390625" style="172" customWidth="1"/>
  </cols>
  <sheetData>
    <row r="1" spans="2:4" ht="16.5">
      <c r="B1" s="741" t="s">
        <v>326</v>
      </c>
      <c r="C1" s="741"/>
      <c r="D1" s="170"/>
    </row>
    <row r="2" spans="2:6" ht="17.25">
      <c r="B2" s="742" t="s">
        <v>130</v>
      </c>
      <c r="C2" s="742"/>
      <c r="D2" s="742"/>
      <c r="E2" s="742"/>
      <c r="F2" s="742"/>
    </row>
    <row r="3" spans="2:6" ht="17.25">
      <c r="B3" s="742" t="s">
        <v>143</v>
      </c>
      <c r="C3" s="742"/>
      <c r="D3" s="742"/>
      <c r="E3" s="742"/>
      <c r="F3" s="742"/>
    </row>
    <row r="4" spans="2:6" ht="17.25" thickBot="1">
      <c r="B4" s="228" t="s">
        <v>154</v>
      </c>
      <c r="C4" s="174" t="s">
        <v>155</v>
      </c>
      <c r="D4" s="174" t="s">
        <v>156</v>
      </c>
      <c r="E4" s="174" t="s">
        <v>157</v>
      </c>
      <c r="F4" s="174" t="s">
        <v>158</v>
      </c>
    </row>
    <row r="5" spans="2:6" ht="50.25" thickBot="1">
      <c r="B5" s="229" t="s">
        <v>148</v>
      </c>
      <c r="C5" s="175" t="s">
        <v>77</v>
      </c>
      <c r="D5" s="175" t="s">
        <v>76</v>
      </c>
      <c r="E5" s="175" t="s">
        <v>144</v>
      </c>
      <c r="F5" s="223" t="s">
        <v>78</v>
      </c>
    </row>
    <row r="6" spans="2:6" ht="33">
      <c r="B6" s="230" t="s">
        <v>90</v>
      </c>
      <c r="C6" s="176">
        <v>3</v>
      </c>
      <c r="D6" s="176">
        <v>0</v>
      </c>
      <c r="E6" s="176">
        <v>3</v>
      </c>
      <c r="F6" s="224"/>
    </row>
    <row r="7" spans="2:6" ht="33" customHeight="1" thickBot="1">
      <c r="B7" s="230" t="s">
        <v>91</v>
      </c>
      <c r="C7" s="176">
        <v>0</v>
      </c>
      <c r="D7" s="176">
        <v>0</v>
      </c>
      <c r="E7" s="176">
        <v>0</v>
      </c>
      <c r="F7" s="224"/>
    </row>
    <row r="8" spans="2:6" ht="30" customHeight="1" thickBot="1">
      <c r="B8" s="178" t="s">
        <v>209</v>
      </c>
      <c r="C8" s="225">
        <f>C6+C7</f>
        <v>3</v>
      </c>
      <c r="D8" s="225">
        <f>D6+D7</f>
        <v>0</v>
      </c>
      <c r="E8" s="225">
        <f>E6+E7</f>
        <v>3</v>
      </c>
      <c r="F8" s="226"/>
    </row>
    <row r="13" spans="2:6" ht="16.5">
      <c r="B13" s="231"/>
      <c r="C13" s="176"/>
      <c r="D13" s="176"/>
      <c r="E13" s="176"/>
      <c r="F13" s="179"/>
    </row>
    <row r="14" spans="2:6" ht="16.5">
      <c r="B14" s="232"/>
      <c r="C14" s="179"/>
      <c r="D14" s="179"/>
      <c r="E14" s="179"/>
      <c r="F14" s="179"/>
    </row>
    <row r="15" spans="2:6" ht="16.5">
      <c r="B15" s="232"/>
      <c r="C15" s="179"/>
      <c r="D15" s="179"/>
      <c r="E15" s="179"/>
      <c r="F15" s="179"/>
    </row>
    <row r="16" spans="2:6" ht="16.5">
      <c r="B16" s="232"/>
      <c r="C16" s="179"/>
      <c r="D16" s="179"/>
      <c r="E16" s="179"/>
      <c r="F16" s="179"/>
    </row>
    <row r="17" spans="2:6" ht="16.5">
      <c r="B17" s="231"/>
      <c r="C17" s="176"/>
      <c r="D17" s="176"/>
      <c r="E17" s="176"/>
      <c r="F17" s="179"/>
    </row>
    <row r="18" spans="2:6" ht="16.5">
      <c r="B18" s="231"/>
      <c r="C18" s="176"/>
      <c r="D18" s="176"/>
      <c r="E18" s="176"/>
      <c r="F18" s="179"/>
    </row>
    <row r="19" spans="2:6" ht="16.5">
      <c r="B19" s="231"/>
      <c r="C19" s="176"/>
      <c r="D19" s="176"/>
      <c r="E19" s="176"/>
      <c r="F19" s="179"/>
    </row>
    <row r="22" spans="1:6" s="177" customFormat="1" ht="17.25">
      <c r="A22" s="173"/>
      <c r="B22" s="234"/>
      <c r="C22" s="180"/>
      <c r="D22" s="180"/>
      <c r="E22" s="180"/>
      <c r="F22" s="227"/>
    </row>
    <row r="24" spans="1:6" s="177" customFormat="1" ht="17.25">
      <c r="A24" s="173"/>
      <c r="B24" s="234"/>
      <c r="C24" s="180"/>
      <c r="D24" s="180"/>
      <c r="E24" s="180"/>
      <c r="F24" s="227"/>
    </row>
    <row r="27" spans="1:6" s="177" customFormat="1" ht="17.25">
      <c r="A27" s="173"/>
      <c r="B27" s="234"/>
      <c r="C27" s="180"/>
      <c r="D27" s="180"/>
      <c r="E27" s="180"/>
      <c r="F27" s="227"/>
    </row>
    <row r="45" spans="1:6" s="177" customFormat="1" ht="17.25">
      <c r="A45" s="173"/>
      <c r="B45" s="234"/>
      <c r="C45" s="180"/>
      <c r="D45" s="180"/>
      <c r="E45" s="180"/>
      <c r="F45" s="227"/>
    </row>
    <row r="54" ht="16.5">
      <c r="C54" s="181"/>
    </row>
    <row r="55" ht="16.5">
      <c r="C55" s="181"/>
    </row>
    <row r="56" ht="16.5">
      <c r="C56" s="181"/>
    </row>
    <row r="57" ht="16.5">
      <c r="C57" s="181"/>
    </row>
    <row r="58" ht="16.5">
      <c r="C58" s="181"/>
    </row>
    <row r="59" ht="16.5">
      <c r="C59" s="181"/>
    </row>
    <row r="60" ht="16.5">
      <c r="C60" s="181"/>
    </row>
    <row r="61" ht="16.5">
      <c r="C61" s="181"/>
    </row>
  </sheetData>
  <sheetProtection/>
  <mergeCells count="3">
    <mergeCell ref="B1:C1"/>
    <mergeCell ref="B2:F2"/>
    <mergeCell ref="B3:F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egyimesine</dc:creator>
  <cp:keywords/>
  <dc:description/>
  <cp:lastModifiedBy>Farkas László</cp:lastModifiedBy>
  <cp:lastPrinted>2014-02-05T15:37:55Z</cp:lastPrinted>
  <dcterms:created xsi:type="dcterms:W3CDTF">2011-11-09T10:58:30Z</dcterms:created>
  <dcterms:modified xsi:type="dcterms:W3CDTF">2014-02-05T21:19:08Z</dcterms:modified>
  <cp:category/>
  <cp:version/>
  <cp:contentType/>
  <cp:contentStatus/>
</cp:coreProperties>
</file>